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90" activeTab="0"/>
  </bookViews>
  <sheets>
    <sheet name="案件清單" sheetId="1" r:id="rId1"/>
  </sheets>
  <definedNames/>
  <calcPr fullCalcOnLoad="1"/>
</workbook>
</file>

<file path=xl/sharedStrings.xml><?xml version="1.0" encoding="utf-8"?>
<sst xmlns="http://schemas.openxmlformats.org/spreadsheetml/2006/main" count="233" uniqueCount="56">
  <si>
    <t>案件編號</t>
  </si>
  <si>
    <t>建物名稱</t>
  </si>
  <si>
    <t>建造執照號碼</t>
  </si>
  <si>
    <t>審驗完成日期</t>
  </si>
  <si>
    <t>審驗繳費完成日期</t>
  </si>
  <si>
    <t>審驗費類別</t>
  </si>
  <si>
    <t>B1x2詹明叡,詹明翰,詹智宇,詹承諺等2戶辦公室,住宅新建工程</t>
  </si>
  <si>
    <t>A1,A2</t>
  </si>
  <si>
    <t>A1,B1</t>
  </si>
  <si>
    <t>B1,B2</t>
  </si>
  <si>
    <t>(106)府建管(建)字第0311463號,(106)府建管(建)字第0311464號</t>
  </si>
  <si>
    <t>E1(E2,D3)鴻築建設股份有限公司店鋪.集合住宅新建工程</t>
  </si>
  <si>
    <t>E1,E2</t>
  </si>
  <si>
    <t>C1,C2</t>
  </si>
  <si>
    <t>(106)府建管(建)字第0336043,45~49,51,52,54,55,57~60,62~66,68號</t>
  </si>
  <si>
    <t>A1×11,B1×2中喜建設股份有限公司住宅新建工程</t>
  </si>
  <si>
    <t>C1(C2,C3)明華建築開發股份有限公司17戶住宅新建工程</t>
  </si>
  <si>
    <t>C1(C2,C3) 仁里建設有限公司住宅新建工程</t>
  </si>
  <si>
    <t>B1-陳保慶,陳保全住宅新建工程</t>
  </si>
  <si>
    <t>(107)高市工建築字地00391,00392號</t>
  </si>
  <si>
    <t>B1,C1</t>
  </si>
  <si>
    <t>(107)府建管(建)字第0143446,0143447號</t>
  </si>
  <si>
    <t>A1,C1</t>
  </si>
  <si>
    <t>A1,A2,B1,B2</t>
  </si>
  <si>
    <t>B1(B2,B3) 柯錦雄八里觀海大道住宅新建工程</t>
  </si>
  <si>
    <t>A1,A2,C1,C2</t>
  </si>
  <si>
    <t>E1(E2,D3)僑馥建築經理股份有限公司集合住宅新建工程</t>
  </si>
  <si>
    <t>D1,D2</t>
  </si>
  <si>
    <t>(107)高市工建築字第03208~03216號,(107)高市工建築字第03225~03238號</t>
  </si>
  <si>
    <t>E1(E2,D3)太平洋建設股份有限公司集合住宅新建工程</t>
  </si>
  <si>
    <t>C1(C2,C3)欣鴻建設股份有限公司集合住宅新建工程</t>
  </si>
  <si>
    <t>E1,E3</t>
  </si>
  <si>
    <t>A1,C1彰化縣永靖鄉公所園藝景觀園區遊客服務中心新建工程</t>
  </si>
  <si>
    <t>(105)府建管(建)字第0450835號,(107)府建管(建)字第0141365號</t>
  </si>
  <si>
    <t>A1,C1,C2</t>
  </si>
  <si>
    <t>B1,C2</t>
  </si>
  <si>
    <t>C1(C2,C3)頂格建設股份有限公司一般事務所新建工程</t>
  </si>
  <si>
    <t>A3,C1,C2</t>
  </si>
  <si>
    <t>A2,B1</t>
  </si>
  <si>
    <t>A1,B2,B1</t>
  </si>
  <si>
    <t>C1(C2,C3)根園建設股份有限公司店舖.集合住宅新建工程</t>
  </si>
  <si>
    <t>106中都建字第00887,00888號</t>
  </si>
  <si>
    <t>105中都建字第01305,01306號</t>
  </si>
  <si>
    <t>(106)府建管(建)字第0068987,0068990號</t>
  </si>
  <si>
    <t>C1(C2,C3) 豐墅建設有限公司集合住宅新建工程</t>
  </si>
  <si>
    <t>D1(D2,C3)澄果建設有限公司店舖.集合住宅新建工程</t>
  </si>
  <si>
    <t>B1(B2,B3)明華建築開發股份有限公司住宅新建工程</t>
  </si>
  <si>
    <t>C1(C2,C3)鑫大順建設股份有限公司集合住宅新建工程</t>
  </si>
  <si>
    <t>臺億建築經理股份有限公司82戶店鋪,集合住宅新建工程</t>
  </si>
  <si>
    <t>C1(C2,B3)意德股份有限公司內湖服務廠新建工程</t>
  </si>
  <si>
    <t>D1(D2,C3)大吾疆建設股份有限公司店舖.集合住宅新建工程</t>
  </si>
  <si>
    <t>C1(C2,C3)保證責任彰化縣鹿港信用合作社管理部大樓新建工程</t>
  </si>
  <si>
    <t>C1,C3</t>
  </si>
  <si>
    <t xml:space="preserve">(106)府建管(建)字第0113611,0113612,0113614,0113617,0113618號 </t>
  </si>
  <si>
    <t>陳信宏,陳玉峯2戶住宅新建工程</t>
  </si>
  <si>
    <t>108年10月審驗合格清單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</si>
</sst>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5"/>
  <sheetViews>
    <sheetView tabSelected="1" zoomScalePageLayoutView="0" workbookViewId="0" topLeftCell="A1">
      <selection activeCell="H6" sqref="H6"/>
    </sheetView>
  </sheetViews>
  <sheetFormatPr defaultColWidth="9.00390625" defaultRowHeight="15.75"/>
  <cols>
    <col min="2" max="2" width="9.875" style="0" customWidth="1"/>
    <col min="3" max="3" width="21.75390625" style="0" customWidth="1"/>
    <col min="4" max="4" width="13.875" style="0" bestFit="1" customWidth="1"/>
    <col min="5" max="5" width="23.875" style="0" bestFit="1" customWidth="1"/>
    <col min="6" max="6" width="12.50390625" style="0" bestFit="1" customWidth="1"/>
  </cols>
  <sheetData>
    <row r="1" spans="1:6" ht="21">
      <c r="A1" s="1" t="s">
        <v>55</v>
      </c>
      <c r="B1" s="2"/>
      <c r="C1" s="2"/>
      <c r="D1" s="2"/>
      <c r="E1" s="2"/>
      <c r="F1" s="2"/>
    </row>
    <row r="2" spans="1:6" ht="16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6.5">
      <c r="A3" t="str">
        <f>"AA006030891"</f>
        <v>AA006030891</v>
      </c>
      <c r="B3" t="str">
        <f>"楊鈺貞 住宅新建工程"</f>
        <v>楊鈺貞 住宅新建工程</v>
      </c>
      <c r="C3" t="str">
        <f>"(106)府工建字第00180號"</f>
        <v>(106)府工建字第00180號</v>
      </c>
      <c r="D3" t="str">
        <f>"108/10/30"</f>
        <v>108/10/30</v>
      </c>
      <c r="E3" t="str">
        <f>"2019/10/30 上午 12:00:00"</f>
        <v>2019/10/30 上午 12:00:00</v>
      </c>
      <c r="F3" t="str">
        <f>"A1"</f>
        <v>A1</v>
      </c>
    </row>
    <row r="4" spans="1:6" ht="16.5">
      <c r="A4" t="str">
        <f>"AA006031360"</f>
        <v>AA006031360</v>
      </c>
      <c r="B4" t="str">
        <f>"黃文榮新建住宅"</f>
        <v>黃文榮新建住宅</v>
      </c>
      <c r="C4" t="str">
        <f>"(106)府建字第00442號"</f>
        <v>(106)府建字第00442號</v>
      </c>
      <c r="D4" t="str">
        <f>"108/10/26"</f>
        <v>108/10/26</v>
      </c>
      <c r="E4" t="str">
        <f>"2019/10/21 上午 12:00:00"</f>
        <v>2019/10/21 上午 12:00:00</v>
      </c>
      <c r="F4" t="str">
        <f>"A1"</f>
        <v>A1</v>
      </c>
    </row>
    <row r="5" spans="1:6" ht="16.5">
      <c r="A5" t="str">
        <f>"AA006032352"</f>
        <v>AA006032352</v>
      </c>
      <c r="B5" t="str">
        <f>"(翰台科技)李友詠住宅新建"</f>
        <v>(翰台科技)李友詠住宅新建</v>
      </c>
      <c r="C5" t="str">
        <f>"(106)南工造字第01783號"</f>
        <v>(106)南工造字第01783號</v>
      </c>
      <c r="D5" t="str">
        <f>"108/10/31"</f>
        <v>108/10/31</v>
      </c>
      <c r="E5" t="str">
        <f>"2019/10/30 上午 12:00:00"</f>
        <v>2019/10/30 上午 12:00:00</v>
      </c>
      <c r="F5" t="str">
        <f>"A1"</f>
        <v>A1</v>
      </c>
    </row>
    <row r="6" spans="1:6" ht="16.5">
      <c r="A6" t="str">
        <f>"AA006037126"</f>
        <v>AA006037126</v>
      </c>
      <c r="B6" t="s">
        <v>6</v>
      </c>
      <c r="C6" t="str">
        <f>"106中都建字第01212-01213號"</f>
        <v>106中都建字第01212-01213號</v>
      </c>
      <c r="D6" t="str">
        <f>"108/10/28"</f>
        <v>108/10/28</v>
      </c>
      <c r="E6" t="str">
        <f>"2019/10/21 上午 12:00:00"</f>
        <v>2019/10/21 上午 12:00:00</v>
      </c>
      <c r="F6" t="str">
        <f>"B1"</f>
        <v>B1</v>
      </c>
    </row>
    <row r="7" spans="1:6" ht="16.5">
      <c r="A7" t="str">
        <f>"AA006042618"</f>
        <v>AA006042618</v>
      </c>
      <c r="B7" t="str">
        <f>"陳立杰住宅新建工程"</f>
        <v>陳立杰住宅新建工程</v>
      </c>
      <c r="C7" t="str">
        <f>"(106)府工建字第00204號"</f>
        <v>(106)府工建字第00204號</v>
      </c>
      <c r="D7" t="str">
        <f>"108/10/01"</f>
        <v>108/10/01</v>
      </c>
      <c r="E7" t="str">
        <f>"2019/10/1 上午 12:00:00"</f>
        <v>2019/10/1 上午 12:00:00</v>
      </c>
      <c r="F7" t="str">
        <f>"A1"</f>
        <v>A1</v>
      </c>
    </row>
    <row r="8" spans="1:6" ht="16.5">
      <c r="A8" t="str">
        <f>"AA006042795"</f>
        <v>AA006042795</v>
      </c>
      <c r="B8" t="str">
        <f>"善化區善中段透天住宅新建工程"</f>
        <v>善化區善中段透天住宅新建工程</v>
      </c>
      <c r="C8" t="str">
        <f>"(106)南工造字第03042號"</f>
        <v>(106)南工造字第03042號</v>
      </c>
      <c r="D8" t="str">
        <f>"108/10/02"</f>
        <v>108/10/02</v>
      </c>
      <c r="E8" t="str">
        <f>"2019/10/2 上午 12:00:00"</f>
        <v>2019/10/2 上午 12:00:00</v>
      </c>
      <c r="F8" t="s">
        <v>7</v>
      </c>
    </row>
    <row r="9" spans="1:6" ht="16.5">
      <c r="A9" t="str">
        <f>"AA006044248"</f>
        <v>AA006044248</v>
      </c>
      <c r="B9" t="str">
        <f>"唐豪機械股份有限公司"</f>
        <v>唐豪機械股份有限公司</v>
      </c>
      <c r="C9" t="str">
        <f>"(105)桃市都建執照字第會德00183-01號"</f>
        <v>(105)桃市都建執照字第會德00183-01號</v>
      </c>
      <c r="D9" t="str">
        <f>"108/10/23"</f>
        <v>108/10/23</v>
      </c>
      <c r="E9" t="str">
        <f>"2019/10/18 上午 12:00:00"</f>
        <v>2019/10/18 上午 12:00:00</v>
      </c>
      <c r="F9" t="str">
        <f>"C1"</f>
        <v>C1</v>
      </c>
    </row>
    <row r="10" spans="1:6" ht="16.5">
      <c r="A10" t="str">
        <f>"AA006044755"</f>
        <v>AA006044755</v>
      </c>
      <c r="B10" t="str">
        <f>"A1吳美雪住宅新建工程"</f>
        <v>A1吳美雪住宅新建工程</v>
      </c>
      <c r="C10" t="str">
        <f>"105中都建字第2320號"</f>
        <v>105中都建字第2320號</v>
      </c>
      <c r="D10" t="str">
        <f>"108/10/15"</f>
        <v>108/10/15</v>
      </c>
      <c r="E10" t="str">
        <f>"2019/10/15 上午 12:00:00"</f>
        <v>2019/10/15 上午 12:00:00</v>
      </c>
      <c r="F10" t="str">
        <f>"A1"</f>
        <v>A1</v>
      </c>
    </row>
    <row r="11" spans="1:6" ht="16.5">
      <c r="A11" t="str">
        <f>"AA006044910"</f>
        <v>AA006044910</v>
      </c>
      <c r="B11" t="str">
        <f>"A1-B1-松田建設嘉義市短竹段14戶住宅新建工程"</f>
        <v>A1-B1-松田建設嘉義市短竹段14戶住宅新建工程</v>
      </c>
      <c r="C11" t="str">
        <f>"A106嘉市府都建執字第00491~500號"</f>
        <v>A106嘉市府都建執字第00491~500號</v>
      </c>
      <c r="D11" t="str">
        <f>"108/10/14"</f>
        <v>108/10/14</v>
      </c>
      <c r="E11" t="str">
        <f>"2019/10/4 上午 12:00:00"</f>
        <v>2019/10/4 上午 12:00:00</v>
      </c>
      <c r="F11" t="s">
        <v>8</v>
      </c>
    </row>
    <row r="12" spans="1:6" ht="16.5">
      <c r="A12" t="str">
        <f>"AA006046234"</f>
        <v>AA006046234</v>
      </c>
      <c r="B12" t="str">
        <f>"全興工程住宅新建工程"</f>
        <v>全興工程住宅新建工程</v>
      </c>
      <c r="C12" t="str">
        <f>"(106)府建字第00010號(01)"</f>
        <v>(106)府建字第00010號(01)</v>
      </c>
      <c r="D12" t="str">
        <f>"108/10/30"</f>
        <v>108/10/30</v>
      </c>
      <c r="E12" t="str">
        <f>"2019/10/30 上午 12:00:00"</f>
        <v>2019/10/30 上午 12:00:00</v>
      </c>
      <c r="F12" t="s">
        <v>9</v>
      </c>
    </row>
    <row r="13" spans="1:6" ht="16.5">
      <c r="A13" t="str">
        <f>"AA006046795"</f>
        <v>AA006046795</v>
      </c>
      <c r="B13" t="str">
        <f>"A1x2 吳惠璧二戶住宅新建工程"</f>
        <v>A1x2 吳惠璧二戶住宅新建工程</v>
      </c>
      <c r="C13" t="s">
        <v>10</v>
      </c>
      <c r="D13" t="str">
        <f>"108/10/07"</f>
        <v>108/10/07</v>
      </c>
      <c r="E13" t="str">
        <f>"2019/10/7 上午 12:00:00"</f>
        <v>2019/10/7 上午 12:00:00</v>
      </c>
      <c r="F13" t="str">
        <f>"A1"</f>
        <v>A1</v>
      </c>
    </row>
    <row r="14" spans="1:6" ht="16.5">
      <c r="A14" t="str">
        <f>"AA006047078"</f>
        <v>AA006047078</v>
      </c>
      <c r="B14" t="str">
        <f>"A1 廖余却自用農舍新建工程"</f>
        <v>A1 廖余却自用農舍新建工程</v>
      </c>
      <c r="C14" t="str">
        <f>"106中都建字第01333號"</f>
        <v>106中都建字第01333號</v>
      </c>
      <c r="D14" t="str">
        <f>"108/10/30"</f>
        <v>108/10/30</v>
      </c>
      <c r="E14" t="str">
        <f>"2019/10/28 上午 12:00:00"</f>
        <v>2019/10/28 上午 12:00:00</v>
      </c>
      <c r="F14" t="str">
        <f>"A1"</f>
        <v>A1</v>
      </c>
    </row>
    <row r="15" spans="1:6" ht="16.5">
      <c r="A15" t="str">
        <f>"AA006047640"</f>
        <v>AA006047640</v>
      </c>
      <c r="B15" t="str">
        <f>"陳立竺住宅新建工程"</f>
        <v>陳立竺住宅新建工程</v>
      </c>
      <c r="C15" t="str">
        <f>"(106)府工建字第00209號"</f>
        <v>(106)府工建字第00209號</v>
      </c>
      <c r="D15" t="str">
        <f>"108/10/01"</f>
        <v>108/10/01</v>
      </c>
      <c r="E15" t="str">
        <f>"2019/10/1 上午 12:00:00"</f>
        <v>2019/10/1 上午 12:00:00</v>
      </c>
      <c r="F15" t="str">
        <f>"A1"</f>
        <v>A1</v>
      </c>
    </row>
    <row r="16" spans="1:6" ht="16.5">
      <c r="A16" t="str">
        <f>"AA006048953"</f>
        <v>AA006048953</v>
      </c>
      <c r="B16" t="str">
        <f>"吳怡萍住宅新建工程"</f>
        <v>吳怡萍住宅新建工程</v>
      </c>
      <c r="C16" t="str">
        <f>"(106)南工造字第03250號"</f>
        <v>(106)南工造字第03250號</v>
      </c>
      <c r="D16" t="str">
        <f>"108/10/01"</f>
        <v>108/10/01</v>
      </c>
      <c r="E16" t="str">
        <f>"2019/10/1 上午 12:00:00"</f>
        <v>2019/10/1 上午 12:00:00</v>
      </c>
      <c r="F16" t="str">
        <f>"A1"</f>
        <v>A1</v>
      </c>
    </row>
    <row r="17" spans="1:6" ht="16.5">
      <c r="A17" t="str">
        <f>"AA006050172"</f>
        <v>AA006050172</v>
      </c>
      <c r="B17" t="str">
        <f>"馬碧蓮住宅新建工程"</f>
        <v>馬碧蓮住宅新建工程</v>
      </c>
      <c r="C17" t="str">
        <f>"(106)高市工建築字01807號"</f>
        <v>(106)高市工建築字01807號</v>
      </c>
      <c r="D17" t="str">
        <f>"108/10/24"</f>
        <v>108/10/24</v>
      </c>
      <c r="E17" t="str">
        <f>"2019/10/23 上午 12:00:00"</f>
        <v>2019/10/23 上午 12:00:00</v>
      </c>
      <c r="F17" t="str">
        <f>"A1"</f>
        <v>A1</v>
      </c>
    </row>
    <row r="18" spans="1:6" ht="16.5">
      <c r="A18" t="str">
        <f>"AA006051221"</f>
        <v>AA006051221</v>
      </c>
      <c r="B18" t="str">
        <f>"C1 國信開發后里民富段30戶住宅新建工程"</f>
        <v>C1 國信開發后里民富段30戶住宅新建工程</v>
      </c>
      <c r="C18" t="str">
        <f>"106中都建字第01578號"</f>
        <v>106中都建字第01578號</v>
      </c>
      <c r="D18" t="str">
        <f>"108/10/29"</f>
        <v>108/10/29</v>
      </c>
      <c r="E18" t="str">
        <f>"2019/10/28 上午 12:00:00"</f>
        <v>2019/10/28 上午 12:00:00</v>
      </c>
      <c r="F18" t="str">
        <f>"C1"</f>
        <v>C1</v>
      </c>
    </row>
    <row r="19" spans="1:6" ht="16.5">
      <c r="A19" t="str">
        <f>"AA006052550"</f>
        <v>AA006052550</v>
      </c>
      <c r="B19" t="str">
        <f>"A1 謝尹智住宅新建工程"</f>
        <v>A1 謝尹智住宅新建工程</v>
      </c>
      <c r="C19" t="str">
        <f>"106中都建字第01979號"</f>
        <v>106中都建字第01979號</v>
      </c>
      <c r="D19" t="str">
        <f>"108/10/07"</f>
        <v>108/10/07</v>
      </c>
      <c r="E19" t="str">
        <f>"2019/10/7 上午 12:00:00"</f>
        <v>2019/10/7 上午 12:00:00</v>
      </c>
      <c r="F19" t="str">
        <f>"A1"</f>
        <v>A1</v>
      </c>
    </row>
    <row r="20" spans="1:6" ht="16.5">
      <c r="A20" t="str">
        <f>"AA006053428"</f>
        <v>AA006053428</v>
      </c>
      <c r="B20" t="str">
        <f>"B1 陳麗巖辦公室.住宅新建工程"</f>
        <v>B1 陳麗巖辦公室.住宅新建工程</v>
      </c>
      <c r="C20" t="str">
        <f>"106中都建字第01448號"</f>
        <v>106中都建字第01448號</v>
      </c>
      <c r="D20" t="str">
        <f>"108/10/22"</f>
        <v>108/10/22</v>
      </c>
      <c r="E20" t="str">
        <f>"2019/10/18 上午 12:00:00"</f>
        <v>2019/10/18 上午 12:00:00</v>
      </c>
      <c r="F20" t="str">
        <f>"B1"</f>
        <v>B1</v>
      </c>
    </row>
    <row r="21" spans="1:6" ht="16.5">
      <c r="A21" t="str">
        <f>"AA006054103"</f>
        <v>AA006054103</v>
      </c>
      <c r="B21" t="s">
        <v>11</v>
      </c>
      <c r="C21" t="str">
        <f>"（106)桃市都建執照字第會龜00372-01號"</f>
        <v>（106)桃市都建執照字第會龜00372-01號</v>
      </c>
      <c r="D21" t="str">
        <f>"108/10/29"</f>
        <v>108/10/29</v>
      </c>
      <c r="E21" t="str">
        <f>"2019/10/29 上午 12:00:00"</f>
        <v>2019/10/29 上午 12:00:00</v>
      </c>
      <c r="F21" t="s">
        <v>12</v>
      </c>
    </row>
    <row r="22" spans="1:6" ht="16.5">
      <c r="A22" t="str">
        <f>"AA006054485"</f>
        <v>AA006054485</v>
      </c>
      <c r="B22" t="str">
        <f>"A1吳俊成中壢區山下段住宅新建工程"</f>
        <v>A1吳俊成中壢區山下段住宅新建工程</v>
      </c>
      <c r="C22" t="str">
        <f>"(106)桃市都建執照字第會壢00909號"</f>
        <v>(106)桃市都建執照字第會壢00909號</v>
      </c>
      <c r="D22" t="str">
        <f>"108/10/02"</f>
        <v>108/10/02</v>
      </c>
      <c r="E22" t="str">
        <f>"2019/10/1 上午 12:00:00"</f>
        <v>2019/10/1 上午 12:00:00</v>
      </c>
      <c r="F22" t="str">
        <f>"A1"</f>
        <v>A1</v>
      </c>
    </row>
    <row r="23" spans="1:6" ht="16.5">
      <c r="A23" t="str">
        <f>"AA006054879"</f>
        <v>AA006054879</v>
      </c>
      <c r="B23" t="str">
        <f>"李國維、李明紳(5Fx1戶)住宅新建工程"</f>
        <v>李國維、李明紳(5Fx1戶)住宅新建工程</v>
      </c>
      <c r="C23" t="str">
        <f>"(105)高市工建築字第01145-01號"</f>
        <v>(105)高市工建築字第01145-01號</v>
      </c>
      <c r="D23" t="str">
        <f>"108/10/16"</f>
        <v>108/10/16</v>
      </c>
      <c r="E23" t="str">
        <f>"2019/10/9 上午 12:00:00"</f>
        <v>2019/10/9 上午 12:00:00</v>
      </c>
      <c r="F23" t="str">
        <f>"A1"</f>
        <v>A1</v>
      </c>
    </row>
    <row r="24" spans="1:6" ht="16.5">
      <c r="A24" t="str">
        <f>"AA006056208"</f>
        <v>AA006056208</v>
      </c>
      <c r="B24" t="str">
        <f>"A1危挺山 中壢區前寮段639地號住宅新建工程"</f>
        <v>A1危挺山 中壢區前寮段639地號住宅新建工程</v>
      </c>
      <c r="C24" t="str">
        <f>" (106)桃市都建執照字第會壢00932號"</f>
        <v> (106)桃市都建執照字第會壢00932號</v>
      </c>
      <c r="D24" t="str">
        <f>"108/10/21"</f>
        <v>108/10/21</v>
      </c>
      <c r="E24" t="str">
        <f>"2019/10/17 上午 12:00:00"</f>
        <v>2019/10/17 上午 12:00:00</v>
      </c>
      <c r="F24" t="str">
        <f>"A1"</f>
        <v>A1</v>
      </c>
    </row>
    <row r="25" spans="1:6" ht="16.5">
      <c r="A25" t="str">
        <f>"AA006056248"</f>
        <v>AA006056248</v>
      </c>
      <c r="B25" t="str">
        <f>"C1鑫富裕建設股份有限公司20戶住宅新建工程"</f>
        <v>C1鑫富裕建設股份有限公司20戶住宅新建工程</v>
      </c>
      <c r="C25" t="str">
        <f>"106中都建字第01994號"</f>
        <v>106中都建字第01994號</v>
      </c>
      <c r="D25" t="str">
        <f>"108/10/05"</f>
        <v>108/10/05</v>
      </c>
      <c r="E25" t="str">
        <f>"2019/10/4 上午 12:00:00"</f>
        <v>2019/10/4 上午 12:00:00</v>
      </c>
      <c r="F25" t="str">
        <f>"C1"</f>
        <v>C1</v>
      </c>
    </row>
    <row r="26" spans="1:6" ht="16.5">
      <c r="A26" t="str">
        <f>"AA006056324"</f>
        <v>AA006056324</v>
      </c>
      <c r="B26" t="str">
        <f>"C1、C2、C3笠成建設花蓮市裕民段集合住宅新建工程(A1)"</f>
        <v>C1、C2、C3笠成建設花蓮市裕民段集合住宅新建工程(A1)</v>
      </c>
      <c r="C26" t="str">
        <f>"花建執照字第106A0243號"</f>
        <v>花建執照字第106A0243號</v>
      </c>
      <c r="D26" t="str">
        <f>"108/10/17"</f>
        <v>108/10/17</v>
      </c>
      <c r="E26" t="str">
        <f>"2019/9/24 上午 12:00:00"</f>
        <v>2019/9/24 上午 12:00:00</v>
      </c>
      <c r="F26" t="s">
        <v>13</v>
      </c>
    </row>
    <row r="27" spans="1:6" ht="16.5">
      <c r="A27" t="str">
        <f>"AA006056401"</f>
        <v>AA006056401</v>
      </c>
      <c r="B27" t="str">
        <f>"C1、C2、C3笠成建設花蓮市裕民段集合住宅新建工程(A2)"</f>
        <v>C1、C2、C3笠成建設花蓮市裕民段集合住宅新建工程(A2)</v>
      </c>
      <c r="C27" t="str">
        <f>"花建執照字第106A0244號"</f>
        <v>花建執照字第106A0244號</v>
      </c>
      <c r="D27" t="str">
        <f>"108/10/07"</f>
        <v>108/10/07</v>
      </c>
      <c r="E27" t="str">
        <f>"2019/9/24 上午 12:00:00"</f>
        <v>2019/9/24 上午 12:00:00</v>
      </c>
      <c r="F27" t="s">
        <v>13</v>
      </c>
    </row>
    <row r="28" spans="1:6" ht="16.5">
      <c r="A28" t="str">
        <f>"AA006057679"</f>
        <v>AA006057679</v>
      </c>
      <c r="B28" t="str">
        <f>"方德建設集合住宅新建工程"</f>
        <v>方德建設集合住宅新建工程</v>
      </c>
      <c r="C28" t="str">
        <f>"(106)府建字第00541號"</f>
        <v>(106)府建字第00541號</v>
      </c>
      <c r="D28" t="str">
        <f>"108/10/21"</f>
        <v>108/10/21</v>
      </c>
      <c r="E28" t="str">
        <f>"2019/10/21 上午 12:00:00"</f>
        <v>2019/10/21 上午 12:00:00</v>
      </c>
      <c r="F28" t="s">
        <v>13</v>
      </c>
    </row>
    <row r="29" spans="1:6" ht="16.5">
      <c r="A29" t="str">
        <f>"AA006057891"</f>
        <v>AA006057891</v>
      </c>
      <c r="B29" t="str">
        <f>"A1-高欽雄住宅新建工程"</f>
        <v>A1-高欽雄住宅新建工程</v>
      </c>
      <c r="C29" t="str">
        <f>"(106)(古)營建字第00044號"</f>
        <v>(106)(古)營建字第00044號</v>
      </c>
      <c r="D29" t="str">
        <f>"108/10/05"</f>
        <v>108/10/05</v>
      </c>
      <c r="E29" t="str">
        <f>"2019/10/5 上午 12:00:00"</f>
        <v>2019/10/5 上午 12:00:00</v>
      </c>
      <c r="F29" t="str">
        <f>"A1"</f>
        <v>A1</v>
      </c>
    </row>
    <row r="30" spans="1:6" ht="16.5">
      <c r="A30" t="str">
        <f>"AA006058593"</f>
        <v>AA006058593</v>
      </c>
      <c r="B30" t="str">
        <f>"C1 世安興業有限公司羽球乒乓球館新建工程"</f>
        <v>C1 世安興業有限公司羽球乒乓球館新建工程</v>
      </c>
      <c r="C30" t="str">
        <f>"106中都建字第01984號"</f>
        <v>106中都建字第01984號</v>
      </c>
      <c r="D30" t="str">
        <f>"108/10/29"</f>
        <v>108/10/29</v>
      </c>
      <c r="E30" t="str">
        <f>"2019/10/24 上午 12:00:00"</f>
        <v>2019/10/24 上午 12:00:00</v>
      </c>
      <c r="F30" t="s">
        <v>13</v>
      </c>
    </row>
    <row r="31" spans="1:6" ht="16.5">
      <c r="A31" t="str">
        <f>"AA006061540"</f>
        <v>AA006061540</v>
      </c>
      <c r="B31" t="str">
        <f>"A1 林瑞啟店鋪.住宅新建工程"</f>
        <v>A1 林瑞啟店鋪.住宅新建工程</v>
      </c>
      <c r="C31" t="str">
        <f>"106中都建字第02079號"</f>
        <v>106中都建字第02079號</v>
      </c>
      <c r="D31" t="str">
        <f>"108/10/30"</f>
        <v>108/10/30</v>
      </c>
      <c r="E31" t="str">
        <f>"2019/10/28 上午 12:00:00"</f>
        <v>2019/10/28 上午 12:00:00</v>
      </c>
      <c r="F31" t="str">
        <f>"A1"</f>
        <v>A1</v>
      </c>
    </row>
    <row r="32" spans="1:6" ht="16.5">
      <c r="A32" t="str">
        <f>"AA006061652"</f>
        <v>AA006061652</v>
      </c>
      <c r="B32" t="str">
        <f>"C1松下淨化科技有限公司 桃園區龍壽段廠房新建工程"</f>
        <v>C1松下淨化科技有限公司 桃園區龍壽段廠房新建工程</v>
      </c>
      <c r="C32" t="str">
        <f>"(106)桃市都建執照字第會桃 00911 號"</f>
        <v>(106)桃市都建執照字第會桃 00911 號</v>
      </c>
      <c r="D32" t="str">
        <f>"108/10/09"</f>
        <v>108/10/09</v>
      </c>
      <c r="E32" t="str">
        <f>"2019/10/1 上午 12:00:00"</f>
        <v>2019/10/1 上午 12:00:00</v>
      </c>
      <c r="F32" t="str">
        <f>"C1"</f>
        <v>C1</v>
      </c>
    </row>
    <row r="33" spans="1:6" ht="16.5">
      <c r="A33" t="str">
        <f>"AA006062891"</f>
        <v>AA006062891</v>
      </c>
      <c r="B33" t="str">
        <f>"C1-斗南教會新建工程"</f>
        <v>C1-斗南教會新建工程</v>
      </c>
      <c r="C33" t="str">
        <f>"(106)(雲)營建字第00699號"</f>
        <v>(106)(雲)營建字第00699號</v>
      </c>
      <c r="D33" t="str">
        <f>"108/10/17"</f>
        <v>108/10/17</v>
      </c>
      <c r="E33" t="str">
        <f>"2019/10/7 上午 12:00:00"</f>
        <v>2019/10/7 上午 12:00:00</v>
      </c>
      <c r="F33" t="s">
        <v>13</v>
      </c>
    </row>
    <row r="34" spans="1:6" ht="16.5">
      <c r="A34" t="str">
        <f>"AA006063401"</f>
        <v>AA006063401</v>
      </c>
      <c r="B34" t="str">
        <f>"A1 卓春成住宅新建工程"</f>
        <v>A1 卓春成住宅新建工程</v>
      </c>
      <c r="C34" t="str">
        <f>"106中都建字第02001號"</f>
        <v>106中都建字第02001號</v>
      </c>
      <c r="D34" t="str">
        <f>"108/10/21"</f>
        <v>108/10/21</v>
      </c>
      <c r="E34" t="str">
        <f>"2019/10/18 上午 12:00:00"</f>
        <v>2019/10/18 上午 12:00:00</v>
      </c>
      <c r="F34" t="str">
        <f>"A1"</f>
        <v>A1</v>
      </c>
    </row>
    <row r="35" spans="1:6" ht="16.5">
      <c r="A35" t="str">
        <f>"AA006063859"</f>
        <v>AA006063859</v>
      </c>
      <c r="B35" t="str">
        <f>"A1 蔡皓羽住宅新建工程"</f>
        <v>A1 蔡皓羽住宅新建工程</v>
      </c>
      <c r="C35" t="str">
        <f>"(106)竹鄉建字第0009332號"</f>
        <v>(106)竹鄉建字第0009332號</v>
      </c>
      <c r="D35" t="str">
        <f>"108/10/08"</f>
        <v>108/10/08</v>
      </c>
      <c r="E35" t="str">
        <f>"2019/10/8 上午 12:00:00"</f>
        <v>2019/10/8 上午 12:00:00</v>
      </c>
      <c r="F35" t="str">
        <f>"A1"</f>
        <v>A1</v>
      </c>
    </row>
    <row r="36" spans="1:6" ht="16.5">
      <c r="A36" t="str">
        <f>"AA006065528"</f>
        <v>AA006065528</v>
      </c>
      <c r="B36" t="str">
        <f>"A1x20可靖建設開發有限公司二十二戶住宅新建工程"</f>
        <v>A1x20可靖建設開發有限公司二十二戶住宅新建工程</v>
      </c>
      <c r="C36" t="s">
        <v>14</v>
      </c>
      <c r="D36" t="str">
        <f>"108/10/15"</f>
        <v>108/10/15</v>
      </c>
      <c r="E36" t="str">
        <f>"2019/10/15 上午 12:00:00"</f>
        <v>2019/10/15 上午 12:00:00</v>
      </c>
      <c r="F36" t="str">
        <f>"A1"</f>
        <v>A1</v>
      </c>
    </row>
    <row r="37" spans="1:6" ht="16.5">
      <c r="A37" t="str">
        <f>"AA006065622"</f>
        <v>AA006065622</v>
      </c>
      <c r="B37" t="str">
        <f>"A1-又昌建設有限公司二戶住宅新建工程"</f>
        <v>A1-又昌建設有限公司二戶住宅新建工程</v>
      </c>
      <c r="C37" t="str">
        <f>"(106)嘉新鄉建字第  00118、119號"</f>
        <v>(106)嘉新鄉建字第  00118、119號</v>
      </c>
      <c r="D37" t="str">
        <f>"108/10/19"</f>
        <v>108/10/19</v>
      </c>
      <c r="E37" t="str">
        <f>"2019/10/18 上午 12:00:00"</f>
        <v>2019/10/18 上午 12:00:00</v>
      </c>
      <c r="F37" t="str">
        <f>"A1"</f>
        <v>A1</v>
      </c>
    </row>
    <row r="38" spans="1:6" ht="16.5">
      <c r="A38" t="str">
        <f>"AA006065652"</f>
        <v>AA006065652</v>
      </c>
      <c r="B38" t="str">
        <f>"A1、A2趙治國東華段住宅新建工程"</f>
        <v>A1、A2趙治國東華段住宅新建工程</v>
      </c>
      <c r="C38" t="str">
        <f>"花建執照字第106A0282號"</f>
        <v>花建執照字第106A0282號</v>
      </c>
      <c r="D38" t="str">
        <f>"108/10/31"</f>
        <v>108/10/31</v>
      </c>
      <c r="E38" t="str">
        <f>"2019/10/28 上午 12:00:00"</f>
        <v>2019/10/28 上午 12:00:00</v>
      </c>
      <c r="F38" t="s">
        <v>7</v>
      </c>
    </row>
    <row r="39" spans="1:6" ht="16.5">
      <c r="A39" t="str">
        <f>"AA006065789"</f>
        <v>AA006065789</v>
      </c>
      <c r="B39" t="str">
        <f>"嘉義縣梅山鄉梅東、梅南、梅北聯合活動中心新建工程"</f>
        <v>嘉義縣梅山鄉梅東、梅南、梅北聯合活動中心新建工程</v>
      </c>
      <c r="C39" t="str">
        <f>"(106)嘉府經管執字第  00079號"</f>
        <v>(106)嘉府經管執字第  00079號</v>
      </c>
      <c r="D39" t="str">
        <f>"108/10/22"</f>
        <v>108/10/22</v>
      </c>
      <c r="E39" t="str">
        <f>"2019/10/22 上午 12:00:00"</f>
        <v>2019/10/22 上午 12:00:00</v>
      </c>
      <c r="F39" t="s">
        <v>13</v>
      </c>
    </row>
    <row r="40" spans="1:6" ht="16.5">
      <c r="A40" t="str">
        <f>"AA006067036"</f>
        <v>AA006067036</v>
      </c>
      <c r="B40" t="str">
        <f>"中山區金泰段商業大樓新建工程"</f>
        <v>中山區金泰段商業大樓新建工程</v>
      </c>
      <c r="C40" t="str">
        <f>"106建字第0188號"</f>
        <v>106建字第0188號</v>
      </c>
      <c r="D40" t="str">
        <f>"108/10/23"</f>
        <v>108/10/23</v>
      </c>
      <c r="E40" t="str">
        <f>"2019/10/21 上午 12:00:00"</f>
        <v>2019/10/21 上午 12:00:00</v>
      </c>
      <c r="F40" t="s">
        <v>13</v>
      </c>
    </row>
    <row r="41" spans="1:6" ht="16.5">
      <c r="A41" t="str">
        <f>"AA006067630"</f>
        <v>AA006067630</v>
      </c>
      <c r="B41" t="str">
        <f>"柏森物業管理顧問有限公司宿舍新建工程"</f>
        <v>柏森物業管理顧問有限公司宿舍新建工程</v>
      </c>
      <c r="C41" t="str">
        <f>"(106)高市工建築字第02199號"</f>
        <v>(106)高市工建築字第02199號</v>
      </c>
      <c r="D41" t="str">
        <f>"108/10/07"</f>
        <v>108/10/07</v>
      </c>
      <c r="E41" t="str">
        <f>"2019/10/6 上午 12:00:00"</f>
        <v>2019/10/6 上午 12:00:00</v>
      </c>
      <c r="F41" t="s">
        <v>13</v>
      </c>
    </row>
    <row r="42" spans="1:6" ht="16.5">
      <c r="A42" t="str">
        <f>"TY106069103"</f>
        <v>TY106069103</v>
      </c>
      <c r="B42" t="str">
        <f>"A1吳秀芳住宅新建工程"</f>
        <v>A1吳秀芳住宅新建工程</v>
      </c>
      <c r="C42" t="str">
        <f>"(106)桃市都建執照字第會園00129號"</f>
        <v>(106)桃市都建執照字第會園00129號</v>
      </c>
      <c r="D42" t="str">
        <f>"108/10/28"</f>
        <v>108/10/28</v>
      </c>
      <c r="E42" t="str">
        <f>"2019/10/28 上午 12:00:00"</f>
        <v>2019/10/28 上午 12:00:00</v>
      </c>
      <c r="F42" t="str">
        <f>"A1"</f>
        <v>A1</v>
      </c>
    </row>
    <row r="43" spans="1:6" ht="16.5">
      <c r="A43" t="str">
        <f>"AA006070158"</f>
        <v>AA006070158</v>
      </c>
      <c r="B43" t="str">
        <f>"C1C3金如億仁德段肆層透天別墅新建工程"</f>
        <v>C1C3金如億仁德段肆層透天別墅新建工程</v>
      </c>
      <c r="C43" t="str">
        <f>"106桃市都建執照字第會溪00989號"</f>
        <v>106桃市都建執照字第會溪00989號</v>
      </c>
      <c r="D43" t="str">
        <f>"108/10/23"</f>
        <v>108/10/23</v>
      </c>
      <c r="E43" t="str">
        <f>"2019/10/18 上午 12:00:00"</f>
        <v>2019/10/18 上午 12:00:00</v>
      </c>
      <c r="F43" t="s">
        <v>13</v>
      </c>
    </row>
    <row r="44" spans="1:6" ht="16.5">
      <c r="A44" t="str">
        <f>"AA006075041"</f>
        <v>AA006075041</v>
      </c>
      <c r="B44" t="str">
        <f>"A1蓉台建設太昌段住宅新建工程(3戶)"</f>
        <v>A1蓉台建設太昌段住宅新建工程(3戶)</v>
      </c>
      <c r="C44" t="str">
        <f>"花建執照字第106A0278號~花建執照字第106A0280號"</f>
        <v>花建執照字第106A0278號~花建執照字第106A0280號</v>
      </c>
      <c r="D44" t="str">
        <f>"108/10/22"</f>
        <v>108/10/22</v>
      </c>
      <c r="E44" t="str">
        <f>"2019/10/22 上午 12:00:00"</f>
        <v>2019/10/22 上午 12:00:00</v>
      </c>
      <c r="F44" t="str">
        <f>"A1"</f>
        <v>A1</v>
      </c>
    </row>
    <row r="45" spans="1:6" ht="16.5">
      <c r="A45" t="str">
        <f>"AA006078036"</f>
        <v>AA006078036</v>
      </c>
      <c r="B45" t="str">
        <f>"A1謝旻伶  桃園區春日段住宅新建工程"</f>
        <v>A1謝旻伶  桃園區春日段住宅新建工程</v>
      </c>
      <c r="C45" t="str">
        <f>"(106)桃市都建執照字第會桃  01196  號"</f>
        <v>(106)桃市都建執照字第會桃  01196  號</v>
      </c>
      <c r="D45" t="str">
        <f>"108/10/14"</f>
        <v>108/10/14</v>
      </c>
      <c r="E45" t="str">
        <f>"2019/10/9 上午 12:00:00"</f>
        <v>2019/10/9 上午 12:00:00</v>
      </c>
      <c r="F45" t="str">
        <f>"A1"</f>
        <v>A1</v>
      </c>
    </row>
    <row r="46" spans="1:6" ht="16.5">
      <c r="A46" t="str">
        <f>"AA006079280"</f>
        <v>AA006079280</v>
      </c>
      <c r="B46" t="str">
        <f>"C1大堂建設市府路辦公室.集合住宅新建工程"</f>
        <v>C1大堂建設市府路辦公室.集合住宅新建工程</v>
      </c>
      <c r="C46" t="str">
        <f>"106中都建字第2013號"</f>
        <v>106中都建字第2013號</v>
      </c>
      <c r="D46" t="str">
        <f>"108/10/21"</f>
        <v>108/10/21</v>
      </c>
      <c r="E46" t="str">
        <f>"2019/10/16 上午 12:00:00"</f>
        <v>2019/10/16 上午 12:00:00</v>
      </c>
      <c r="F46" t="s">
        <v>13</v>
      </c>
    </row>
    <row r="47" spans="1:6" ht="16.5">
      <c r="A47" t="str">
        <f>"AA006080036"</f>
        <v>AA006080036</v>
      </c>
      <c r="B47" t="str">
        <f>"B1 鵬丞建設有限公司五戶住宅新建工程"</f>
        <v>B1 鵬丞建設有限公司五戶住宅新建工程</v>
      </c>
      <c r="C47" t="str">
        <f>"(106)府建管(建)字第0385613號"</f>
        <v>(106)府建管(建)字第0385613號</v>
      </c>
      <c r="D47" t="str">
        <f>"108/10/01"</f>
        <v>108/10/01</v>
      </c>
      <c r="E47" t="str">
        <f>"2019/10/1 上午 12:00:00"</f>
        <v>2019/10/1 上午 12:00:00</v>
      </c>
      <c r="F47" t="str">
        <f>"B1"</f>
        <v>B1</v>
      </c>
    </row>
    <row r="48" spans="1:6" ht="16.5">
      <c r="A48" t="str">
        <f>"AA006080078"</f>
        <v>AA006080078</v>
      </c>
      <c r="B48" t="str">
        <f>"C1C3豐暘建設股份有限公司 許志明"</f>
        <v>C1C3豐暘建設股份有限公司 許志明</v>
      </c>
      <c r="C48" t="str">
        <f>"(106)桃市都建執照字第會龍00908 號"</f>
        <v>(106)桃市都建執照字第會龍00908 號</v>
      </c>
      <c r="D48" t="str">
        <f>"108/10/23"</f>
        <v>108/10/23</v>
      </c>
      <c r="E48" t="str">
        <f>"2019/10/9 上午 12:00:00"</f>
        <v>2019/10/9 上午 12:00:00</v>
      </c>
      <c r="F48" t="s">
        <v>13</v>
      </c>
    </row>
    <row r="49" spans="1:6" ht="16.5">
      <c r="A49" t="str">
        <f>"AA006081028"</f>
        <v>AA006081028</v>
      </c>
      <c r="B49" t="str">
        <f>"春聖建設平鎮區鎮興段1495地號等1筆集合住宅新建工程"</f>
        <v>春聖建設平鎮區鎮興段1495地號等1筆集合住宅新建工程</v>
      </c>
      <c r="C49" t="str">
        <f>"（106）桃市都建執照字第會平00886號"</f>
        <v>（106）桃市都建執照字第會平00886號</v>
      </c>
      <c r="D49" t="str">
        <f>"108/10/31"</f>
        <v>108/10/31</v>
      </c>
      <c r="E49" t="str">
        <f>"2019/10/18 上午 12:00:00"</f>
        <v>2019/10/18 上午 12:00:00</v>
      </c>
      <c r="F49" t="s">
        <v>13</v>
      </c>
    </row>
    <row r="50" spans="1:6" ht="16.5">
      <c r="A50" t="str">
        <f>"AA006082054"</f>
        <v>AA006082054</v>
      </c>
      <c r="B50" t="str">
        <f>"林茂欽-住宅新建工程"</f>
        <v>林茂欽-住宅新建工程</v>
      </c>
      <c r="C50" t="str">
        <f>"(106)(雲)營建字第00999號"</f>
        <v>(106)(雲)營建字第00999號</v>
      </c>
      <c r="D50" t="str">
        <f>"108/10/14"</f>
        <v>108/10/14</v>
      </c>
      <c r="E50" t="str">
        <f>"2019/10/14 上午 12:00:00"</f>
        <v>2019/10/14 上午 12:00:00</v>
      </c>
      <c r="F50" t="str">
        <f>"A1"</f>
        <v>A1</v>
      </c>
    </row>
    <row r="51" spans="1:6" ht="16.5">
      <c r="A51" t="str">
        <f>"AA006083769"</f>
        <v>AA006083769</v>
      </c>
      <c r="B51" t="str">
        <f>"B1 林妤婕肆層店鋪.補習班.住宅新建工程"</f>
        <v>B1 林妤婕肆層店鋪.補習班.住宅新建工程</v>
      </c>
      <c r="C51" t="str">
        <f>"106中都建字第02339號"</f>
        <v>106中都建字第02339號</v>
      </c>
      <c r="D51" t="str">
        <f>"108/10/16"</f>
        <v>108/10/16</v>
      </c>
      <c r="E51" t="str">
        <f>"2019/9/4 上午 12:00:00"</f>
        <v>2019/9/4 上午 12:00:00</v>
      </c>
      <c r="F51" t="str">
        <f>"B1"</f>
        <v>B1</v>
      </c>
    </row>
    <row r="52" spans="1:6" ht="16.5">
      <c r="A52" t="str">
        <f>"AA006084306"</f>
        <v>AA006084306</v>
      </c>
      <c r="B52" t="str">
        <f>"岡山魚市場新建工程"</f>
        <v>岡山魚市場新建工程</v>
      </c>
      <c r="C52" t="str">
        <f>"(106)高市工建築字第02342號"</f>
        <v>(106)高市工建築字第02342號</v>
      </c>
      <c r="D52" t="str">
        <f>"108/10/02"</f>
        <v>108/10/02</v>
      </c>
      <c r="E52" t="str">
        <f>"2019/9/30 上午 12:00:00"</f>
        <v>2019/9/30 上午 12:00:00</v>
      </c>
      <c r="F52" t="s">
        <v>13</v>
      </c>
    </row>
    <row r="53" spans="1:6" ht="16.5">
      <c r="A53" t="str">
        <f>"AA006088550"</f>
        <v>AA006088550</v>
      </c>
      <c r="B53" t="str">
        <f>"新北市土城區頂埔國民小學自立午餐廚房興建工程"</f>
        <v>新北市土城區頂埔國民小學自立午餐廚房興建工程</v>
      </c>
      <c r="C53" t="str">
        <f>"106土建字第00414號"</f>
        <v>106土建字第00414號</v>
      </c>
      <c r="D53" t="str">
        <f>"108/10/15"</f>
        <v>108/10/15</v>
      </c>
      <c r="E53" t="str">
        <f>"2019/10/1 上午 12:00:00"</f>
        <v>2019/10/1 上午 12:00:00</v>
      </c>
      <c r="F53" t="s">
        <v>13</v>
      </c>
    </row>
    <row r="54" spans="1:6" ht="16.5">
      <c r="A54" t="str">
        <f>"AA006090575"</f>
        <v>AA006090575</v>
      </c>
      <c r="B54" t="str">
        <f>"昌聖建設集合住宅新建工程"</f>
        <v>昌聖建設集合住宅新建工程</v>
      </c>
      <c r="C54" t="str">
        <f>"(106)府建字第00633號"</f>
        <v>(106)府建字第00633號</v>
      </c>
      <c r="D54" t="str">
        <f>"108/10/30"</f>
        <v>108/10/30</v>
      </c>
      <c r="E54" t="str">
        <f>"2019/10/30 上午 12:00:00"</f>
        <v>2019/10/30 上午 12:00:00</v>
      </c>
      <c r="F54" t="s">
        <v>7</v>
      </c>
    </row>
    <row r="55" spans="1:6" ht="16.5">
      <c r="A55" t="str">
        <f>"AA006092640"</f>
        <v>AA006092640</v>
      </c>
      <c r="B55" t="str">
        <f>"A1黃子瑋住宅新建工程"</f>
        <v>A1黃子瑋住宅新建工程</v>
      </c>
      <c r="C55" t="str">
        <f>"106中都建字第2460號"</f>
        <v>106中都建字第2460號</v>
      </c>
      <c r="D55" t="str">
        <f>"108/10/14"</f>
        <v>108/10/14</v>
      </c>
      <c r="E55" t="str">
        <f>"2019/10/14 上午 12:00:00"</f>
        <v>2019/10/14 上午 12:00:00</v>
      </c>
      <c r="F55" t="str">
        <f>"A1"</f>
        <v>A1</v>
      </c>
    </row>
    <row r="56" spans="1:6" ht="16.5">
      <c r="A56" t="str">
        <f>"AA006092699"</f>
        <v>AA006092699</v>
      </c>
      <c r="B56" t="str">
        <f>"許煒晨住宅新建工程"</f>
        <v>許煒晨住宅新建工程</v>
      </c>
      <c r="C56" t="str">
        <f>"(106)南工造字第04302號"</f>
        <v>(106)南工造字第04302號</v>
      </c>
      <c r="D56" t="str">
        <f>"108/10/24"</f>
        <v>108/10/24</v>
      </c>
      <c r="E56" t="str">
        <f>"2019/10/14 上午 12:00:00"</f>
        <v>2019/10/14 上午 12:00:00</v>
      </c>
      <c r="F56" t="str">
        <f>"A1"</f>
        <v>A1</v>
      </c>
    </row>
    <row r="57" spans="1:6" ht="16.5">
      <c r="A57" t="str">
        <f>"AA006092769"</f>
        <v>AA006092769</v>
      </c>
      <c r="B57" t="str">
        <f>"張育誠 店鋪住宅新建工程"</f>
        <v>張育誠 店鋪住宅新建工程</v>
      </c>
      <c r="C57" t="str">
        <f>"(106)高市工建築字第02484號"</f>
        <v>(106)高市工建築字第02484號</v>
      </c>
      <c r="D57" t="str">
        <f>"108/10/14"</f>
        <v>108/10/14</v>
      </c>
      <c r="E57" t="str">
        <f>"2019/10/7 上午 12:00:00"</f>
        <v>2019/10/7 上午 12:00:00</v>
      </c>
      <c r="F57" t="str">
        <f>"A1"</f>
        <v>A1</v>
      </c>
    </row>
    <row r="58" spans="1:6" ht="16.5">
      <c r="A58" t="str">
        <f>"AA006093550"</f>
        <v>AA006093550</v>
      </c>
      <c r="B58" t="str">
        <f>"新北市鶯歌區橋子頭段807-5地號農舍新建工程"</f>
        <v>新北市鶯歌區橋子頭段807-5地號農舍新建工程</v>
      </c>
      <c r="C58" t="str">
        <f>"104鶯建字第00462號"</f>
        <v>104鶯建字第00462號</v>
      </c>
      <c r="D58" t="str">
        <f>"108/10/02"</f>
        <v>108/10/02</v>
      </c>
      <c r="E58" t="str">
        <f>"2019/10/2 上午 12:00:00"</f>
        <v>2019/10/2 上午 12:00:00</v>
      </c>
      <c r="F58" t="str">
        <f>"A1"</f>
        <v>A1</v>
      </c>
    </row>
    <row r="59" spans="1:6" ht="16.5">
      <c r="A59" t="str">
        <f>"AA006093981"</f>
        <v>AA006093981</v>
      </c>
      <c r="B59" t="str">
        <f>"B1 金斧建設股份有限公司4戶住宅新建工程"</f>
        <v>B1 金斧建設股份有限公司4戶住宅新建工程</v>
      </c>
      <c r="C59" t="str">
        <f>"106中都建字第02537號"</f>
        <v>106中都建字第02537號</v>
      </c>
      <c r="D59" t="str">
        <f>"108/10/05"</f>
        <v>108/10/05</v>
      </c>
      <c r="E59" t="str">
        <f>"2019/10/4 上午 12:00:00"</f>
        <v>2019/10/4 上午 12:00:00</v>
      </c>
      <c r="F59" t="str">
        <f>"B1"</f>
        <v>B1</v>
      </c>
    </row>
    <row r="60" spans="1:6" ht="16.5">
      <c r="A60" t="str">
        <f>"AA006095589"</f>
        <v>AA006095589</v>
      </c>
      <c r="B60" t="str">
        <f>"A1×4 中喜建設股份有限公司住宅新建工程"</f>
        <v>A1×4 中喜建設股份有限公司住宅新建工程</v>
      </c>
      <c r="C60" t="str">
        <f>"(106)彰秀鄉建字第0016174~0016177號"</f>
        <v>(106)彰秀鄉建字第0016174~0016177號</v>
      </c>
      <c r="D60" t="str">
        <f>"108/10/17"</f>
        <v>108/10/17</v>
      </c>
      <c r="E60" t="str">
        <f>"2019/10/17 上午 12:00:00"</f>
        <v>2019/10/17 上午 12:00:00</v>
      </c>
      <c r="F60" t="str">
        <f>"A1"</f>
        <v>A1</v>
      </c>
    </row>
    <row r="61" spans="1:6" ht="16.5">
      <c r="A61" t="str">
        <f>"AA006095622"</f>
        <v>AA006095622</v>
      </c>
      <c r="B61" t="s">
        <v>15</v>
      </c>
      <c r="C61" t="str">
        <f>"(106)彰秀鄉建字第0016178-0016190號"</f>
        <v>(106)彰秀鄉建字第0016178-0016190號</v>
      </c>
      <c r="D61" t="str">
        <f>"108/10/22"</f>
        <v>108/10/22</v>
      </c>
      <c r="E61" t="str">
        <f>"2019/10/21 上午 12:00:00"</f>
        <v>2019/10/21 上午 12:00:00</v>
      </c>
      <c r="F61" t="s">
        <v>8</v>
      </c>
    </row>
    <row r="62" spans="1:6" ht="16.5">
      <c r="A62" t="str">
        <f>"AA006095949"</f>
        <v>AA006095949</v>
      </c>
      <c r="B62" t="str">
        <f>"光順建設有限公司 等十六戶 住宅 新建工程"</f>
        <v>光順建設有限公司 等十六戶 住宅 新建工程</v>
      </c>
      <c r="C62" t="str">
        <f>"(106)高市工建築字第02500~02515號"</f>
        <v>(106)高市工建築字第02500~02515號</v>
      </c>
      <c r="D62" t="str">
        <f>"108/10/17"</f>
        <v>108/10/17</v>
      </c>
      <c r="E62" t="str">
        <f>"2019/10/17 上午 12:00:00"</f>
        <v>2019/10/17 上午 12:00:00</v>
      </c>
      <c r="F62" t="str">
        <f>"A1"</f>
        <v>A1</v>
      </c>
    </row>
    <row r="63" spans="1:6" ht="16.5">
      <c r="A63" t="str">
        <f>"AA006095981"</f>
        <v>AA006095981</v>
      </c>
      <c r="B63" t="str">
        <f>"光順建設有限公司 等十二戶 住宅 新建工程"</f>
        <v>光順建設有限公司 等十二戶 住宅 新建工程</v>
      </c>
      <c r="C63" t="str">
        <f>"(106)高市工建築字第02488~02499號"</f>
        <v>(106)高市工建築字第02488~02499號</v>
      </c>
      <c r="D63" t="str">
        <f>"108/10/17"</f>
        <v>108/10/17</v>
      </c>
      <c r="E63" t="str">
        <f>"2019/10/17 上午 12:00:00"</f>
        <v>2019/10/17 上午 12:00:00</v>
      </c>
      <c r="F63" t="str">
        <f>"A1"</f>
        <v>A1</v>
      </c>
    </row>
    <row r="64" spans="1:6" ht="16.5">
      <c r="A64" t="str">
        <f>"AA006096518"</f>
        <v>AA006096518</v>
      </c>
      <c r="B64" t="str">
        <f>"麗築建設12戶住宅新建工程"</f>
        <v>麗築建設12戶住宅新建工程</v>
      </c>
      <c r="C64" t="str">
        <f>"(106)南工造字第04460~04471號"</f>
        <v>(106)南工造字第04460~04471號</v>
      </c>
      <c r="D64" t="str">
        <f>"108/10/18"</f>
        <v>108/10/18</v>
      </c>
      <c r="E64" t="str">
        <f>"2019/10/18 上午 12:00:00"</f>
        <v>2019/10/18 上午 12:00:00</v>
      </c>
      <c r="F64" t="str">
        <f>"A1"</f>
        <v>A1</v>
      </c>
    </row>
    <row r="65" spans="1:6" ht="16.5">
      <c r="A65" t="str">
        <f>"AA006096742"</f>
        <v>AA006096742</v>
      </c>
      <c r="B65" t="str">
        <f>"C1 泰昇工業有限公司廠房新建工程"</f>
        <v>C1 泰昇工業有限公司廠房新建工程</v>
      </c>
      <c r="C65" t="str">
        <f>"(106)府建管(建)字第0412202號"</f>
        <v>(106)府建管(建)字第0412202號</v>
      </c>
      <c r="D65" t="str">
        <f>"108/10/29"</f>
        <v>108/10/29</v>
      </c>
      <c r="E65" t="str">
        <f>"2019/10/25 上午 12:00:00"</f>
        <v>2019/10/25 上午 12:00:00</v>
      </c>
      <c r="F65" t="str">
        <f>"C1"</f>
        <v>C1</v>
      </c>
    </row>
    <row r="66" spans="1:6" ht="16.5">
      <c r="A66" t="str">
        <f>"AA006096769"</f>
        <v>AA006096769</v>
      </c>
      <c r="B66" t="str">
        <f>"C1 大嘉衣業有限公司廠房新建工程"</f>
        <v>C1 大嘉衣業有限公司廠房新建工程</v>
      </c>
      <c r="C66" t="str">
        <f>"(106)府建管(建)字第0270645號"</f>
        <v>(106)府建管(建)字第0270645號</v>
      </c>
      <c r="D66" t="str">
        <f>"108/10/22"</f>
        <v>108/10/22</v>
      </c>
      <c r="E66" t="str">
        <f>"2019/10/16 上午 12:00:00"</f>
        <v>2019/10/16 上午 12:00:00</v>
      </c>
      <c r="F66" t="str">
        <f>"C1"</f>
        <v>C1</v>
      </c>
    </row>
    <row r="67" spans="1:6" ht="16.5">
      <c r="A67" t="str">
        <f>"AA006097802"</f>
        <v>AA006097802</v>
      </c>
      <c r="B67" t="str">
        <f>"美山林建設集合住宅新建工程"</f>
        <v>美山林建設集合住宅新建工程</v>
      </c>
      <c r="C67" t="str">
        <f>"(106)府建字第00666號"</f>
        <v>(106)府建字第00666號</v>
      </c>
      <c r="D67" t="str">
        <f>"108/10/24"</f>
        <v>108/10/24</v>
      </c>
      <c r="E67" t="str">
        <f>"2019/10/21 上午 12:00:00"</f>
        <v>2019/10/21 上午 12:00:00</v>
      </c>
      <c r="F67" t="s">
        <v>9</v>
      </c>
    </row>
    <row r="68" spans="1:6" ht="16.5">
      <c r="A68" t="str">
        <f>"AA006097810"</f>
        <v>AA006097810</v>
      </c>
      <c r="B68" t="str">
        <f>"美山林建設集合住宅新建工程"</f>
        <v>美山林建設集合住宅新建工程</v>
      </c>
      <c r="C68" t="str">
        <f>"(106)府建字第00665號"</f>
        <v>(106)府建字第00665號</v>
      </c>
      <c r="D68" t="str">
        <f>"108/10/24"</f>
        <v>108/10/24</v>
      </c>
      <c r="E68" t="str">
        <f>"2019/10/21 上午 12:00:00"</f>
        <v>2019/10/21 上午 12:00:00</v>
      </c>
      <c r="F68" t="s">
        <v>9</v>
      </c>
    </row>
    <row r="69" spans="1:6" ht="16.5">
      <c r="A69" t="str">
        <f>"CY106098849"</f>
        <v>CY106098849</v>
      </c>
      <c r="B69" t="str">
        <f>"A1-嘉義大學蘭潭校區園藝技藝中心補照工程(無電信設備)"</f>
        <v>A1-嘉義大學蘭潭校區園藝技藝中心補照工程(無電信設備)</v>
      </c>
      <c r="C69" t="str">
        <f>"A106嘉市府都建執字第 000668號"</f>
        <v>A106嘉市府都建執字第 000668號</v>
      </c>
      <c r="D69" t="str">
        <f>"108/10/23"</f>
        <v>108/10/23</v>
      </c>
      <c r="E69" t="str">
        <f>"2019/10/17 上午 12:00:00"</f>
        <v>2019/10/17 上午 12:00:00</v>
      </c>
      <c r="F69" t="str">
        <f>"A1"</f>
        <v>A1</v>
      </c>
    </row>
    <row r="70" spans="1:6" ht="16.5">
      <c r="A70" t="str">
        <f>"CY106099115"</f>
        <v>CY106099115</v>
      </c>
      <c r="B70" t="str">
        <f>"A1-嘉義大學蘭潭校區生物產業機械實驗室補照工程- 無電信設備"</f>
        <v>A1-嘉義大學蘭潭校區生物產業機械實驗室補照工程- 無電信設備</v>
      </c>
      <c r="C70" t="str">
        <f>"A106嘉市府都建執字第  000669號"</f>
        <v>A106嘉市府都建執字第  000669號</v>
      </c>
      <c r="D70" t="str">
        <f>"108/10/23"</f>
        <v>108/10/23</v>
      </c>
      <c r="E70" t="str">
        <f>"2019/10/17 上午 12:00:00"</f>
        <v>2019/10/17 上午 12:00:00</v>
      </c>
      <c r="F70" t="str">
        <f>"A1"</f>
        <v>A1</v>
      </c>
    </row>
    <row r="71" spans="1:6" ht="16.5">
      <c r="A71" t="str">
        <f>"AA006100126"</f>
        <v>AA006100126</v>
      </c>
      <c r="B71" t="str">
        <f>"A1-江玄宏.江乾元二人住宅新建工程"</f>
        <v>A1-江玄宏.江乾元二人住宅新建工程</v>
      </c>
      <c r="C71" t="str">
        <f>"106嘉市府都建執字第0634號"</f>
        <v>106嘉市府都建執字第0634號</v>
      </c>
      <c r="D71" t="str">
        <f>"108/10/21"</f>
        <v>108/10/21</v>
      </c>
      <c r="E71" t="str">
        <f>"2019/10/15 上午 12:00:00"</f>
        <v>2019/10/15 上午 12:00:00</v>
      </c>
      <c r="F71" t="str">
        <f>"A1"</f>
        <v>A1</v>
      </c>
    </row>
    <row r="72" spans="1:6" ht="16.5">
      <c r="A72" t="str">
        <f>"AA006101036"</f>
        <v>AA006101036</v>
      </c>
      <c r="B72" t="str">
        <f>"B1 誠家開發實業股份有限公司住宅新建工程"</f>
        <v>B1 誠家開發實業股份有限公司住宅新建工程</v>
      </c>
      <c r="C72" t="str">
        <f>"106中都建字第02561號"</f>
        <v>106中都建字第02561號</v>
      </c>
      <c r="D72" t="str">
        <f>"108/10/15"</f>
        <v>108/10/15</v>
      </c>
      <c r="E72" t="str">
        <f>"2019/10/9 上午 12:00:00"</f>
        <v>2019/10/9 上午 12:00:00</v>
      </c>
      <c r="F72" t="str">
        <f>"B1"</f>
        <v>B1</v>
      </c>
    </row>
    <row r="73" spans="1:6" ht="16.5">
      <c r="A73" t="str">
        <f>"AA006102414"</f>
        <v>AA006102414</v>
      </c>
      <c r="B73" t="str">
        <f>"李信雄、李林幸只桃園市龜山區陸光段代檢場新建工程"</f>
        <v>李信雄、李林幸只桃園市龜山區陸光段代檢場新建工程</v>
      </c>
      <c r="C73" t="str">
        <f>"(106)桃市都建執照字第會龜01293號"</f>
        <v>(106)桃市都建執照字第會龜01293號</v>
      </c>
      <c r="D73" t="str">
        <f>"108/10/09"</f>
        <v>108/10/09</v>
      </c>
      <c r="E73" t="str">
        <f>"2019/9/12 上午 12:00:00"</f>
        <v>2019/9/12 上午 12:00:00</v>
      </c>
      <c r="F73" t="str">
        <f>"C1"</f>
        <v>C1</v>
      </c>
    </row>
    <row r="74" spans="1:6" ht="16.5">
      <c r="A74" t="str">
        <f>"AA006103532"</f>
        <v>AA006103532</v>
      </c>
      <c r="B74" t="str">
        <f>"興富御建設股份有限公司2戶住宅新建工程"</f>
        <v>興富御建設股份有限公司2戶住宅新建工程</v>
      </c>
      <c r="C74" t="str">
        <f>"(106)南工造字第03852~03853號"</f>
        <v>(106)南工造字第03852~03853號</v>
      </c>
      <c r="D74" t="str">
        <f>"108/10/25"</f>
        <v>108/10/25</v>
      </c>
      <c r="E74" t="str">
        <f>"2019/10/24 上午 12:00:00"</f>
        <v>2019/10/24 上午 12:00:00</v>
      </c>
      <c r="F74" t="s">
        <v>7</v>
      </c>
    </row>
    <row r="75" spans="1:6" ht="16.5">
      <c r="A75" t="str">
        <f>"AA007000234"</f>
        <v>AA007000234</v>
      </c>
      <c r="B75" t="str">
        <f>"A1x4 民楷建設有限公司四戶住宅新建工程"</f>
        <v>A1x4 民楷建設有限公司四戶住宅新建工程</v>
      </c>
      <c r="C75" t="str">
        <f>"(106)社鄉建字第0020493~0020496號"</f>
        <v>(106)社鄉建字第0020493~0020496號</v>
      </c>
      <c r="D75" t="str">
        <f>"108/10/17"</f>
        <v>108/10/17</v>
      </c>
      <c r="E75" t="str">
        <f>"2019/10/17 上午 12:00:00"</f>
        <v>2019/10/17 上午 12:00:00</v>
      </c>
      <c r="F75" t="str">
        <f>"A1"</f>
        <v>A1</v>
      </c>
    </row>
    <row r="76" spans="1:6" ht="16.5">
      <c r="A76" t="str">
        <f>"AA007000443"</f>
        <v>AA007000443</v>
      </c>
      <c r="B76" t="str">
        <f>"廖黃如雪新建工程"</f>
        <v>廖黃如雪新建工程</v>
      </c>
      <c r="C76" t="str">
        <f>"(106)桃市都建執照字第會龍01279號"</f>
        <v>(106)桃市都建執照字第會龍01279號</v>
      </c>
      <c r="D76" t="str">
        <f>"108/10/30"</f>
        <v>108/10/30</v>
      </c>
      <c r="E76" t="str">
        <f>"2019/10/30 上午 12:00:00"</f>
        <v>2019/10/30 上午 12:00:00</v>
      </c>
      <c r="F76" t="str">
        <f>"A1"</f>
        <v>A1</v>
      </c>
    </row>
    <row r="77" spans="1:6" ht="16.5">
      <c r="A77" t="str">
        <f>"AA007001485"</f>
        <v>AA007001485</v>
      </c>
      <c r="B77" t="str">
        <f>"陳怡君-店鋪.住宅新建工程"</f>
        <v>陳怡君-店鋪.住宅新建工程</v>
      </c>
      <c r="C77" t="str">
        <f>"(106)(雲)營建字第01064號"</f>
        <v>(106)(雲)營建字第01064號</v>
      </c>
      <c r="D77" t="str">
        <f>"108/10/19"</f>
        <v>108/10/19</v>
      </c>
      <c r="E77" t="str">
        <f>"2019/10/18 上午 12:00:00"</f>
        <v>2019/10/18 上午 12:00:00</v>
      </c>
      <c r="F77" t="str">
        <f>"A1"</f>
        <v>A1</v>
      </c>
    </row>
    <row r="78" spans="1:6" ht="16.5">
      <c r="A78" t="str">
        <f>"AA007002306"</f>
        <v>AA007002306</v>
      </c>
      <c r="B78" t="str">
        <f>"C1-勤堃機械大埔美精密園區二期廠辦新建工程"</f>
        <v>C1-勤堃機械大埔美精密園區二期廠辦新建工程</v>
      </c>
      <c r="C78" t="str">
        <f>"106嘉府經管執字第00107號"</f>
        <v>106嘉府經管執字第00107號</v>
      </c>
      <c r="D78" t="str">
        <f>"108/10/30"</f>
        <v>108/10/30</v>
      </c>
      <c r="E78" t="str">
        <f>"2019/10/28 上午 12:00:00"</f>
        <v>2019/10/28 上午 12:00:00</v>
      </c>
      <c r="F78" t="str">
        <f>"C1"</f>
        <v>C1</v>
      </c>
    </row>
    <row r="79" spans="1:6" ht="16.5">
      <c r="A79" t="str">
        <f>"AA007003589"</f>
        <v>AA007003589</v>
      </c>
      <c r="B79" t="s">
        <v>16</v>
      </c>
      <c r="C79" t="str">
        <f>"(106)府建管(建)字第0450441號"</f>
        <v>(106)府建管(建)字第0450441號</v>
      </c>
      <c r="D79" t="str">
        <f>"108/10/22"</f>
        <v>108/10/22</v>
      </c>
      <c r="E79" t="str">
        <f>"2019/10/22 上午 12:00:00"</f>
        <v>2019/10/22 上午 12:00:00</v>
      </c>
      <c r="F79" t="s">
        <v>13</v>
      </c>
    </row>
    <row r="80" spans="1:6" ht="16.5">
      <c r="A80" t="str">
        <f>"AA007003789"</f>
        <v>AA007003789</v>
      </c>
      <c r="B80" t="str">
        <f>"兆璟建設股份有限公司 新金面段2戶住宅新建工"</f>
        <v>兆璟建設股份有限公司 新金面段2戶住宅新建工</v>
      </c>
      <c r="C80" t="str">
        <f>"106.12.15建管建師字第90071號"</f>
        <v>106.12.15建管建師字第90071號</v>
      </c>
      <c r="D80" t="str">
        <f>"108/10/22"</f>
        <v>108/10/22</v>
      </c>
      <c r="E80" t="str">
        <f>"2019/10/10 上午 12:00:00"</f>
        <v>2019/10/10 上午 12:00:00</v>
      </c>
      <c r="F80" t="str">
        <f>"A1"</f>
        <v>A1</v>
      </c>
    </row>
    <row r="81" spans="1:6" ht="16.5">
      <c r="A81" t="str">
        <f>"AA007005443"</f>
        <v>AA007005443</v>
      </c>
      <c r="B81" t="str">
        <f>"C1 林芳洲住宅新建工程"</f>
        <v>C1 林芳洲住宅新建工程</v>
      </c>
      <c r="C81" t="str">
        <f>"106中都建字第02666號"</f>
        <v>106中都建字第02666號</v>
      </c>
      <c r="D81" t="str">
        <f>"108/10/08"</f>
        <v>108/10/08</v>
      </c>
      <c r="E81" t="str">
        <f>"2019/10/7 上午 12:00:00"</f>
        <v>2019/10/7 上午 12:00:00</v>
      </c>
      <c r="F81" t="str">
        <f>"C1"</f>
        <v>C1</v>
      </c>
    </row>
    <row r="82" spans="1:6" ht="16.5">
      <c r="A82" t="str">
        <f>"AA007005518"</f>
        <v>AA007005518</v>
      </c>
      <c r="B82" t="str">
        <f>"A1 林宗賢住宅新建工程                  "</f>
        <v>A1 林宗賢住宅新建工程                  </v>
      </c>
      <c r="C82" t="str">
        <f>"106中都建字第2693號"</f>
        <v>106中都建字第2693號</v>
      </c>
      <c r="D82" t="str">
        <f>"108/10/08"</f>
        <v>108/10/08</v>
      </c>
      <c r="E82" t="str">
        <f>"2019/10/8 上午 12:00:00"</f>
        <v>2019/10/8 上午 12:00:00</v>
      </c>
      <c r="F82" t="str">
        <f>"A1"</f>
        <v>A1</v>
      </c>
    </row>
    <row r="83" spans="1:6" ht="16.5">
      <c r="A83" t="str">
        <f>"AA007006158"</f>
        <v>AA007006158</v>
      </c>
      <c r="B83" t="str">
        <f>"邱奕聖參層店鋪.住宅新建工程"</f>
        <v>邱奕聖參層店鋪.住宅新建工程</v>
      </c>
      <c r="C83" t="str">
        <f>"(106)桃市都建執照字第會觀01387號"</f>
        <v>(106)桃市都建執照字第會觀01387號</v>
      </c>
      <c r="D83" t="str">
        <f>"108/10/23"</f>
        <v>108/10/23</v>
      </c>
      <c r="E83" t="str">
        <f>"2019/10/23 上午 12:00:00"</f>
        <v>2019/10/23 上午 12:00:00</v>
      </c>
      <c r="F83" t="str">
        <f>"A1"</f>
        <v>A1</v>
      </c>
    </row>
    <row r="84" spans="1:6" ht="16.5">
      <c r="A84" t="str">
        <f>"AA007006428"</f>
        <v>AA007006428</v>
      </c>
      <c r="B84" t="str">
        <f>"上森實業新竹縣關西鎮大同壹段廠房新建工程"</f>
        <v>上森實業新竹縣關西鎮大同壹段廠房新建工程</v>
      </c>
      <c r="C84" t="str">
        <f>"(106) 府建字第00639號"</f>
        <v>(106) 府建字第00639號</v>
      </c>
      <c r="D84" t="str">
        <f>"108/10/09"</f>
        <v>108/10/09</v>
      </c>
      <c r="E84" t="str">
        <f>"2019/9/5 上午 12:00:00"</f>
        <v>2019/9/5 上午 12:00:00</v>
      </c>
      <c r="F84" t="str">
        <f>"C1"</f>
        <v>C1</v>
      </c>
    </row>
    <row r="85" spans="1:6" ht="16.5">
      <c r="A85" t="str">
        <f>"AA007006575"</f>
        <v>AA007006575</v>
      </c>
      <c r="B85" t="str">
        <f>"明利佳股份有限公司-新厝北段集合住宅新建工程"</f>
        <v>明利佳股份有限公司-新厝北段集合住宅新建工程</v>
      </c>
      <c r="C85" t="str">
        <f>"（106）高市工建築字第02190號"</f>
        <v>（106）高市工建築字第02190號</v>
      </c>
      <c r="D85" t="str">
        <f>"108/10/18"</f>
        <v>108/10/18</v>
      </c>
      <c r="E85" t="str">
        <f>"2019/10/17 上午 12:00:00"</f>
        <v>2019/10/17 上午 12:00:00</v>
      </c>
      <c r="F85" t="s">
        <v>9</v>
      </c>
    </row>
    <row r="86" spans="1:6" ht="16.5">
      <c r="A86" t="str">
        <f>"AA007007311"</f>
        <v>AA007007311</v>
      </c>
      <c r="B86" t="str">
        <f>"曾莉莉等2人店鋪新建工程"</f>
        <v>曾莉莉等2人店鋪新建工程</v>
      </c>
      <c r="C86" t="str">
        <f>"(106)高市工建築字第02473~02474號"</f>
        <v>(106)高市工建築字第02473~02474號</v>
      </c>
      <c r="D86" t="str">
        <f>"108/10/22"</f>
        <v>108/10/22</v>
      </c>
      <c r="E86" t="str">
        <f>"2019/10/17 上午 12:00:00"</f>
        <v>2019/10/17 上午 12:00:00</v>
      </c>
      <c r="F86" t="str">
        <f>"B1"</f>
        <v>B1</v>
      </c>
    </row>
    <row r="87" spans="1:6" ht="16.5">
      <c r="A87" t="str">
        <f>"AA007007922"</f>
        <v>AA007007922</v>
      </c>
      <c r="B87" t="str">
        <f>"嘉爵開發建設有限公司-住宅新建工程"</f>
        <v>嘉爵開發建設有限公司-住宅新建工程</v>
      </c>
      <c r="C87" t="str">
        <f>"(107)(雲)營建字第00003號"</f>
        <v>(107)(雲)營建字第00003號</v>
      </c>
      <c r="D87" t="str">
        <f>"108/10/22"</f>
        <v>108/10/22</v>
      </c>
      <c r="E87" t="str">
        <f>"2019/10/22 上午 12:00:00"</f>
        <v>2019/10/22 上午 12:00:00</v>
      </c>
      <c r="F87" t="str">
        <f>"A1"</f>
        <v>A1</v>
      </c>
    </row>
    <row r="88" spans="1:6" ht="16.5">
      <c r="A88" t="str">
        <f>"AA007008007"</f>
        <v>AA007008007</v>
      </c>
      <c r="B88" t="str">
        <f>"君宇開發板橋區民生段443地號柒層住宅新建工程"</f>
        <v>君宇開發板橋區民生段443地號柒層住宅新建工程</v>
      </c>
      <c r="C88" t="str">
        <f>"106板建字第00461號"</f>
        <v>106板建字第00461號</v>
      </c>
      <c r="D88" t="str">
        <f>"108/10/14"</f>
        <v>108/10/14</v>
      </c>
      <c r="E88" t="str">
        <f>"2019/9/4 上午 12:00:00"</f>
        <v>2019/9/4 上午 12:00:00</v>
      </c>
      <c r="F88" t="s">
        <v>13</v>
      </c>
    </row>
    <row r="89" spans="1:6" ht="16.5">
      <c r="A89" t="str">
        <f>"AA007010623"</f>
        <v>AA007010623</v>
      </c>
      <c r="B89" t="str">
        <f>"陳梨文過田子段住宅新建工程"</f>
        <v>陳梨文過田子段住宅新建工程</v>
      </c>
      <c r="C89" t="str">
        <f>"(106)高市工建築字第00949-01號"</f>
        <v>(106)高市工建築字第00949-01號</v>
      </c>
      <c r="D89" t="str">
        <f>"108/10/01"</f>
        <v>108/10/01</v>
      </c>
      <c r="E89" t="str">
        <f>"2019/10/1 上午 12:00:00"</f>
        <v>2019/10/1 上午 12:00:00</v>
      </c>
      <c r="F89" t="str">
        <f>"A1"</f>
        <v>A1</v>
      </c>
    </row>
    <row r="90" spans="1:6" ht="16.5">
      <c r="A90" t="str">
        <f>"AA007012401"</f>
        <v>AA007012401</v>
      </c>
      <c r="B90" t="str">
        <f>"楊清松3F*1戶 住宅新建工程"</f>
        <v>楊清松3F*1戶 住宅新建工程</v>
      </c>
      <c r="C90" t="str">
        <f>"(106)南工造字第03438號"</f>
        <v>(106)南工造字第03438號</v>
      </c>
      <c r="D90" t="str">
        <f>"108/10/03"</f>
        <v>108/10/03</v>
      </c>
      <c r="E90" t="str">
        <f>"2019/10/3 上午 12:00:00"</f>
        <v>2019/10/3 上午 12:00:00</v>
      </c>
      <c r="F90" t="str">
        <f>"A1"</f>
        <v>A1</v>
      </c>
    </row>
    <row r="91" spans="1:6" ht="16.5">
      <c r="A91" t="str">
        <f>"AA007012820"</f>
        <v>AA007012820</v>
      </c>
      <c r="B91" t="str">
        <f>"馬坤男等3人店舖新建工程"</f>
        <v>馬坤男等3人店舖新建工程</v>
      </c>
      <c r="C91" t="str">
        <f>"(106)高市工建築字第02759號"</f>
        <v>(106)高市工建築字第02759號</v>
      </c>
      <c r="D91" t="str">
        <f>"108/10/29"</f>
        <v>108/10/29</v>
      </c>
      <c r="E91" t="str">
        <f>"2019/10/15 上午 12:00:00"</f>
        <v>2019/10/15 上午 12:00:00</v>
      </c>
      <c r="F91" t="str">
        <f>"B1"</f>
        <v>B1</v>
      </c>
    </row>
    <row r="92" spans="1:6" ht="16.5">
      <c r="A92" t="str">
        <f>"AA007014699"</f>
        <v>AA007014699</v>
      </c>
      <c r="B92" t="str">
        <f>"黃昌釜等人 大園區竹圍段拔子林小段住宅新建工程"</f>
        <v>黃昌釜等人 大園區竹圍段拔子林小段住宅新建工程</v>
      </c>
      <c r="C92" t="str">
        <f>"(107)桃市都建執照字第會園00032號"</f>
        <v>(107)桃市都建執照字第會園00032號</v>
      </c>
      <c r="D92" t="str">
        <f>"108/10/28"</f>
        <v>108/10/28</v>
      </c>
      <c r="E92" t="str">
        <f>"2019/10/24 上午 12:00:00"</f>
        <v>2019/10/24 上午 12:00:00</v>
      </c>
      <c r="F92" t="str">
        <f>"A1"</f>
        <v>A1</v>
      </c>
    </row>
    <row r="93" spans="1:6" ht="16.5">
      <c r="A93" t="str">
        <f>"AA007015280"</f>
        <v>AA007015280</v>
      </c>
      <c r="B93" t="str">
        <f>"陳宏恩等2戶店鋪新建工程"</f>
        <v>陳宏恩等2戶店鋪新建工程</v>
      </c>
      <c r="C93" t="str">
        <f>"(106)高市工建築字第02806、02807號"</f>
        <v>(106)高市工建築字第02806、02807號</v>
      </c>
      <c r="D93" t="str">
        <f>"108/10/24"</f>
        <v>108/10/24</v>
      </c>
      <c r="E93" t="str">
        <f>"2019/10/24 上午 12:00:00"</f>
        <v>2019/10/24 上午 12:00:00</v>
      </c>
      <c r="F93" t="str">
        <f>"B1"</f>
        <v>B1</v>
      </c>
    </row>
    <row r="94" spans="1:6" ht="16.5">
      <c r="A94" t="str">
        <f>"AA007015401"</f>
        <v>AA007015401</v>
      </c>
      <c r="B94" t="str">
        <f>"A1x26 紘享建設有限公司住宅新建工程"</f>
        <v>A1x26 紘享建設有限公司住宅新建工程</v>
      </c>
      <c r="C94" t="str">
        <f>"(106)北鎮建字第0016489~0016514號  "</f>
        <v>(106)北鎮建字第0016489~0016514號  </v>
      </c>
      <c r="D94" t="str">
        <f>"108/10/17"</f>
        <v>108/10/17</v>
      </c>
      <c r="E94" t="str">
        <f>"2019/10/17 上午 12:00:00"</f>
        <v>2019/10/17 上午 12:00:00</v>
      </c>
      <c r="F94" t="str">
        <f>"A1"</f>
        <v>A1</v>
      </c>
    </row>
    <row r="95" spans="1:6" ht="16.5">
      <c r="A95" t="str">
        <f>"AA007016820"</f>
        <v>AA007016820</v>
      </c>
      <c r="B95" t="str">
        <f>"A1-B1-富秝建設有限公司西螺六戶住宅新建工程"</f>
        <v>A1-B1-富秝建設有限公司西螺六戶住宅新建工程</v>
      </c>
      <c r="C95" t="str">
        <f>"107雲營建字第12~14號"</f>
        <v>107雲營建字第12~14號</v>
      </c>
      <c r="D95" t="str">
        <f>"108/10/05"</f>
        <v>108/10/05</v>
      </c>
      <c r="E95" t="str">
        <f>"2019/9/30 上午 12:00:00"</f>
        <v>2019/9/30 上午 12:00:00</v>
      </c>
      <c r="F95" t="s">
        <v>8</v>
      </c>
    </row>
    <row r="96" spans="1:6" ht="16.5">
      <c r="A96" t="str">
        <f>"AA007016885"</f>
        <v>AA007016885</v>
      </c>
      <c r="B96" t="str">
        <f>"C1九和汽車(股)公司店鋪.辦公室.住宅新建工程"</f>
        <v>C1九和汽車(股)公司店鋪.辦公室.住宅新建工程</v>
      </c>
      <c r="C96" t="str">
        <f>"106中都建字第2332號"</f>
        <v>106中都建字第2332號</v>
      </c>
      <c r="D96" t="str">
        <f>"108/10/01"</f>
        <v>108/10/01</v>
      </c>
      <c r="E96" t="str">
        <f>"2019/9/30 上午 12:00:00"</f>
        <v>2019/9/30 上午 12:00:00</v>
      </c>
      <c r="F96" t="str">
        <f>"C1"</f>
        <v>C1</v>
      </c>
    </row>
    <row r="97" spans="1:6" ht="16.5">
      <c r="A97" t="str">
        <f>"AA007017832"</f>
        <v>AA007017832</v>
      </c>
      <c r="B97" t="str">
        <f>"緯達精密桃園市楊梅區幼獅段廠房新建工程"</f>
        <v>緯達精密桃園市楊梅區幼獅段廠房新建工程</v>
      </c>
      <c r="C97" t="str">
        <f>"(106)桃市都建執照字第會楊01091號"</f>
        <v>(106)桃市都建執照字第會楊01091號</v>
      </c>
      <c r="D97" t="str">
        <f>"108/10/31"</f>
        <v>108/10/31</v>
      </c>
      <c r="E97" t="str">
        <f>"2019/10/17 上午 12:00:00"</f>
        <v>2019/10/17 上午 12:00:00</v>
      </c>
      <c r="F97" t="str">
        <f>"C1"</f>
        <v>C1</v>
      </c>
    </row>
    <row r="98" spans="1:6" ht="16.5">
      <c r="A98" t="str">
        <f>"AA007017885"</f>
        <v>AA007017885</v>
      </c>
      <c r="B98" t="str">
        <f>"C1昇揚開發實業有限公司世紀交響三期日日向上A區住宅新建工程"</f>
        <v>C1昇揚開發實業有限公司世紀交響三期日日向上A區住宅新建工程</v>
      </c>
      <c r="C98" t="str">
        <f>"103中都建字第01167號"</f>
        <v>103中都建字第01167號</v>
      </c>
      <c r="D98" t="str">
        <f>"108/10/28"</f>
        <v>108/10/28</v>
      </c>
      <c r="E98" t="str">
        <f>"2019/10/23 上午 12:00:00"</f>
        <v>2019/10/23 上午 12:00:00</v>
      </c>
      <c r="F98" t="str">
        <f>"C1"</f>
        <v>C1</v>
      </c>
    </row>
    <row r="99" spans="1:6" ht="16.5">
      <c r="A99" t="str">
        <f>"AA007017891"</f>
        <v>AA007017891</v>
      </c>
      <c r="B99" t="str">
        <f>"C1昇揚開發實業有限公司世紀交響三期日日向上B區住宅新建工程"</f>
        <v>C1昇揚開發實業有限公司世紀交響三期日日向上B區住宅新建工程</v>
      </c>
      <c r="C99" t="str">
        <f>"103中都建字第01171號"</f>
        <v>103中都建字第01171號</v>
      </c>
      <c r="D99" t="str">
        <f>"108/10/28"</f>
        <v>108/10/28</v>
      </c>
      <c r="E99" t="str">
        <f>"2019/10/23 上午 12:00:00"</f>
        <v>2019/10/23 上午 12:00:00</v>
      </c>
      <c r="F99" t="str">
        <f>"C1"</f>
        <v>C1</v>
      </c>
    </row>
    <row r="100" spans="1:6" ht="16.5">
      <c r="A100" t="str">
        <f>"AA007017910"</f>
        <v>AA007017910</v>
      </c>
      <c r="B100" t="str">
        <f>"A1 大利昌建設有限公司住宅新建工程"</f>
        <v>A1 大利昌建設有限公司住宅新建工程</v>
      </c>
      <c r="C100" t="str">
        <f>"(106)府建管(建)字第0395100號"</f>
        <v>(106)府建管(建)字第0395100號</v>
      </c>
      <c r="D100" t="str">
        <f>"108/10/22"</f>
        <v>108/10/22</v>
      </c>
      <c r="E100" t="str">
        <f>"2019/10/22 上午 12:00:00"</f>
        <v>2019/10/22 上午 12:00:00</v>
      </c>
      <c r="F100" t="str">
        <f>"A1"</f>
        <v>A1</v>
      </c>
    </row>
    <row r="101" spans="1:6" ht="16.5">
      <c r="A101" t="str">
        <f>"AA007019013"</f>
        <v>AA007019013</v>
      </c>
      <c r="B101" t="str">
        <f>"A1 林嘉敏住宅新建工程"</f>
        <v>A1 林嘉敏住宅新建工程</v>
      </c>
      <c r="C101" t="str">
        <f>"107中都建字第00177號"</f>
        <v>107中都建字第00177號</v>
      </c>
      <c r="D101" t="str">
        <f>"108/10/24"</f>
        <v>108/10/24</v>
      </c>
      <c r="E101" t="str">
        <f>"2019/10/24 上午 12:00:00"</f>
        <v>2019/10/24 上午 12:00:00</v>
      </c>
      <c r="F101" t="str">
        <f>"A1"</f>
        <v>A1</v>
      </c>
    </row>
    <row r="102" spans="1:6" ht="16.5">
      <c r="A102" t="str">
        <f>"AA007019190"</f>
        <v>AA007019190</v>
      </c>
      <c r="B102" t="str">
        <f>"三民區新都段旅館新建工程"</f>
        <v>三民區新都段旅館新建工程</v>
      </c>
      <c r="C102" t="str">
        <f>"(106)高市工建築字第02715號"</f>
        <v>(106)高市工建築字第02715號</v>
      </c>
      <c r="D102" t="str">
        <f>"108/10/06"</f>
        <v>108/10/06</v>
      </c>
      <c r="E102" t="str">
        <f>"2019/10/3 上午 12:00:00"</f>
        <v>2019/10/3 上午 12:00:00</v>
      </c>
      <c r="F102" t="s">
        <v>13</v>
      </c>
    </row>
    <row r="103" spans="1:6" ht="16.5">
      <c r="A103" t="str">
        <f>"AA007019608"</f>
        <v>AA007019608</v>
      </c>
      <c r="B103" t="str">
        <f>"A1 陳啟篤住宅新建工程"</f>
        <v>A1 陳啟篤住宅新建工程</v>
      </c>
      <c r="C103" t="str">
        <f>"(107)府建管(建)字第0027104號"</f>
        <v>(107)府建管(建)字第0027104號</v>
      </c>
      <c r="D103" t="str">
        <f>"108/10/30"</f>
        <v>108/10/30</v>
      </c>
      <c r="E103" t="str">
        <f>"2019/10/30 上午 12:00:00"</f>
        <v>2019/10/30 上午 12:00:00</v>
      </c>
      <c r="F103" t="str">
        <f>"A1"</f>
        <v>A1</v>
      </c>
    </row>
    <row r="104" spans="1:6" ht="16.5">
      <c r="A104" t="str">
        <f>"AA007019795"</f>
        <v>AA007019795</v>
      </c>
      <c r="B104" t="str">
        <f>"邱春絹住宅新建工程"</f>
        <v>邱春絹住宅新建工程</v>
      </c>
      <c r="C104" t="str">
        <f>"(107)南工造字第00413號"</f>
        <v>(107)南工造字第00413號</v>
      </c>
      <c r="D104" t="str">
        <f>"108/10/18"</f>
        <v>108/10/18</v>
      </c>
      <c r="E104" t="str">
        <f>"2019/10/18 上午 12:00:00"</f>
        <v>2019/10/18 上午 12:00:00</v>
      </c>
      <c r="F104" t="str">
        <f>"A1"</f>
        <v>A1</v>
      </c>
    </row>
    <row r="105" spans="1:6" ht="16.5">
      <c r="A105" t="str">
        <f>"AA007021131"</f>
        <v>AA007021131</v>
      </c>
      <c r="B105" t="str">
        <f>"黃俊源等3人集合住宅新建工程"</f>
        <v>黃俊源等3人集合住宅新建工程</v>
      </c>
      <c r="C105" t="str">
        <f>"(107)府建造字第06385號"</f>
        <v>(107)府建造字第06385號</v>
      </c>
      <c r="D105" t="str">
        <f>"108/10/25"</f>
        <v>108/10/25</v>
      </c>
      <c r="E105" t="str">
        <f>"2019/10/20 上午 12:00:00"</f>
        <v>2019/10/20 上午 12:00:00</v>
      </c>
      <c r="F105" t="s">
        <v>7</v>
      </c>
    </row>
    <row r="106" spans="1:6" ht="16.5">
      <c r="A106" t="str">
        <f>"AA007023190"</f>
        <v>AA007023190</v>
      </c>
      <c r="B106" t="str">
        <f>"彭泳傑 新建工程"</f>
        <v>彭泳傑 新建工程</v>
      </c>
      <c r="C106" t="str">
        <f>"(105)桃市都建執照字第會平00190-01 號"</f>
        <v>(105)桃市都建執照字第會平00190-01 號</v>
      </c>
      <c r="D106" t="str">
        <f>"108/10/31"</f>
        <v>108/10/31</v>
      </c>
      <c r="E106" t="str">
        <f>"2019/10/17 上午 12:00:00"</f>
        <v>2019/10/17 上午 12:00:00</v>
      </c>
      <c r="F106" t="str">
        <f>"C1"</f>
        <v>C1</v>
      </c>
    </row>
    <row r="107" spans="1:6" ht="16.5">
      <c r="A107" t="str">
        <f>"AA007025090"</f>
        <v>AA007025090</v>
      </c>
      <c r="B107" t="str">
        <f>"A1 劉曉萍住宅新建工程"</f>
        <v>A1 劉曉萍住宅新建工程</v>
      </c>
      <c r="C107" t="str">
        <f>"107中都建字第00259號"</f>
        <v>107中都建字第00259號</v>
      </c>
      <c r="D107" t="str">
        <f>"108/10/24"</f>
        <v>108/10/24</v>
      </c>
      <c r="E107" t="str">
        <f>"2019/10/24 上午 12:00:00"</f>
        <v>2019/10/24 上午 12:00:00</v>
      </c>
      <c r="F107" t="str">
        <f>"A1"</f>
        <v>A1</v>
      </c>
    </row>
    <row r="108" spans="1:6" ht="16.5">
      <c r="A108" t="str">
        <f>"AA007027234"</f>
        <v>AA007027234</v>
      </c>
      <c r="B108" t="str">
        <f>"C1幼華幼兒園新建"</f>
        <v>C1幼華幼兒園新建</v>
      </c>
      <c r="C108" t="str">
        <f>"花建執照字第106A0313號"</f>
        <v>花建執照字第106A0313號</v>
      </c>
      <c r="D108" t="str">
        <f>"108/10/30"</f>
        <v>108/10/30</v>
      </c>
      <c r="E108" t="str">
        <f>"2019/10/24 上午 12:00:00"</f>
        <v>2019/10/24 上午 12:00:00</v>
      </c>
      <c r="F108" t="str">
        <f>"C1"</f>
        <v>C1</v>
      </c>
    </row>
    <row r="109" spans="1:6" ht="16.5">
      <c r="A109" t="str">
        <f>"AA007027981"</f>
        <v>AA007027981</v>
      </c>
      <c r="B109" t="str">
        <f>"長竑建設有限公司 等6戶 住宅 新建工程"</f>
        <v>長竑建設有限公司 等6戶 住宅 新建工程</v>
      </c>
      <c r="C109" t="str">
        <f>"(107)高市工建築字第00025~00030號"</f>
        <v>(107)高市工建築字第00025~00030號</v>
      </c>
      <c r="D109" t="str">
        <f>"108/10/09"</f>
        <v>108/10/09</v>
      </c>
      <c r="E109" t="str">
        <f>"2019/10/8 上午 12:00:00"</f>
        <v>2019/10/8 上午 12:00:00</v>
      </c>
      <c r="F109" t="str">
        <f>"A1"</f>
        <v>A1</v>
      </c>
    </row>
    <row r="110" spans="1:6" ht="16.5">
      <c r="A110" t="str">
        <f>"AA007028126"</f>
        <v>AA007028126</v>
      </c>
      <c r="B110" t="str">
        <f>"長竑建設有限公司 等10戶 住宅 新建工程"</f>
        <v>長竑建設有限公司 等10戶 住宅 新建工程</v>
      </c>
      <c r="C110" t="str">
        <f>"(107)高市工建築字第00031~00040號"</f>
        <v>(107)高市工建築字第00031~00040號</v>
      </c>
      <c r="D110" t="str">
        <f>"108/10/09"</f>
        <v>108/10/09</v>
      </c>
      <c r="E110" t="str">
        <f>"2019/10/8 上午 12:00:00"</f>
        <v>2019/10/8 上午 12:00:00</v>
      </c>
      <c r="F110" t="str">
        <f>"A1"</f>
        <v>A1</v>
      </c>
    </row>
    <row r="111" spans="1:6" ht="16.5">
      <c r="A111" t="str">
        <f>"AA007028382"</f>
        <v>AA007028382</v>
      </c>
      <c r="B111" t="str">
        <f>"磐起建設股份有限公司負責人:丘淑敏住宅新建工程(鳥松區林內段54地號)(1戶)"</f>
        <v>磐起建設股份有限公司負責人:丘淑敏住宅新建工程(鳥松區林內段54地號)(1戶)</v>
      </c>
      <c r="C111" t="str">
        <f>"(107)高市工建築字第00238號"</f>
        <v>(107)高市工建築字第00238號</v>
      </c>
      <c r="D111" t="str">
        <f>"108/10/30"</f>
        <v>108/10/30</v>
      </c>
      <c r="E111" t="str">
        <f>"2019/10/30 上午 12:00:00"</f>
        <v>2019/10/30 上午 12:00:00</v>
      </c>
      <c r="F111" t="str">
        <f>"A1"</f>
        <v>A1</v>
      </c>
    </row>
    <row r="112" spans="1:6" ht="16.5">
      <c r="A112" t="str">
        <f>"AA007028975"</f>
        <v>AA007028975</v>
      </c>
      <c r="B112" t="str">
        <f>"A1-連連發建設有限公司正心段十戶住宅新建工程"</f>
        <v>A1-連連發建設有限公司正心段十戶住宅新建工程</v>
      </c>
      <c r="C112" t="str">
        <f>"107雲營建字第102~109號"</f>
        <v>107雲營建字第102~109號</v>
      </c>
      <c r="D112" t="str">
        <f>"108/10/15"</f>
        <v>108/10/15</v>
      </c>
      <c r="E112" t="str">
        <f>"2019/10/15 上午 12:00:00"</f>
        <v>2019/10/15 上午 12:00:00</v>
      </c>
      <c r="F112" t="str">
        <f>"A1"</f>
        <v>A1</v>
      </c>
    </row>
    <row r="113" spans="1:6" ht="16.5">
      <c r="A113" t="str">
        <f>"AA007029910"</f>
        <v>AA007029910</v>
      </c>
      <c r="B113" t="s">
        <v>17</v>
      </c>
      <c r="C113" t="str">
        <f>"107中都建字第00105號"</f>
        <v>107中都建字第00105號</v>
      </c>
      <c r="D113" t="str">
        <f>"108/10/07"</f>
        <v>108/10/07</v>
      </c>
      <c r="E113" t="str">
        <f>"2019/10/4 上午 12:00:00"</f>
        <v>2019/10/4 上午 12:00:00</v>
      </c>
      <c r="F113" t="s">
        <v>13</v>
      </c>
    </row>
    <row r="114" spans="1:6" ht="16.5">
      <c r="A114" t="str">
        <f>"AA007030131"</f>
        <v>AA007030131</v>
      </c>
      <c r="B114" t="str">
        <f>"A1x14 御豐建設有限公司店舖.住宅新建工程"</f>
        <v>A1x14 御豐建設有限公司店舖.住宅新建工程</v>
      </c>
      <c r="C114" t="str">
        <f>"107中都建字第00313-00326號"</f>
        <v>107中都建字第00313-00326號</v>
      </c>
      <c r="D114" t="str">
        <f>"108/10/14"</f>
        <v>108/10/14</v>
      </c>
      <c r="E114" t="str">
        <f>"2019/10/14 上午 12:00:00"</f>
        <v>2019/10/14 上午 12:00:00</v>
      </c>
      <c r="F114" t="str">
        <f>"A1"</f>
        <v>A1</v>
      </c>
    </row>
    <row r="115" spans="1:6" ht="16.5">
      <c r="A115" t="str">
        <f>"AA007030221"</f>
        <v>AA007030221</v>
      </c>
      <c r="B115" t="str">
        <f>"C1 國宏股份有限公司廠房新建工程"</f>
        <v>C1 國宏股份有限公司廠房新建工程</v>
      </c>
      <c r="C115" t="str">
        <f>"(107)府建管(建)字第0031646號"</f>
        <v>(107)府建管(建)字第0031646號</v>
      </c>
      <c r="D115" t="str">
        <f>"108/10/21"</f>
        <v>108/10/21</v>
      </c>
      <c r="E115" t="str">
        <f>"2019/10/16 上午 12:00:00"</f>
        <v>2019/10/16 上午 12:00:00</v>
      </c>
      <c r="F115" t="str">
        <f>"C1"</f>
        <v>C1</v>
      </c>
    </row>
    <row r="116" spans="1:6" ht="16.5">
      <c r="A116" t="str">
        <f>"AA007031348"</f>
        <v>AA007031348</v>
      </c>
      <c r="B116" t="str">
        <f>"C1台灣彰化農田水利會員林工作站辦公廳新建工程"</f>
        <v>C1台灣彰化農田水利會員林工作站辦公廳新建工程</v>
      </c>
      <c r="C116" t="str">
        <f>"106府建管建字第0450448號"</f>
        <v>106府建管建字第0450448號</v>
      </c>
      <c r="D116" t="str">
        <f>"108/10/22"</f>
        <v>108/10/22</v>
      </c>
      <c r="E116" t="str">
        <f>"2019/10/22 上午 12:00:00"</f>
        <v>2019/10/22 上午 12:00:00</v>
      </c>
      <c r="F116" t="str">
        <f>"C1"</f>
        <v>C1</v>
      </c>
    </row>
    <row r="117" spans="1:6" ht="16.5">
      <c r="A117" t="str">
        <f>"AA007031460"</f>
        <v>AA007031460</v>
      </c>
      <c r="B117" t="str">
        <f>"岱柏有限公司  楊梅區草湳坡段廠房新建工程"</f>
        <v>岱柏有限公司  楊梅區草湳坡段廠房新建工程</v>
      </c>
      <c r="C117" t="str">
        <f>"(106)桃市都建執照字第會楊 01323 號"</f>
        <v>(106)桃市都建執照字第會楊 01323 號</v>
      </c>
      <c r="D117" t="str">
        <f>"108/10/31"</f>
        <v>108/10/31</v>
      </c>
      <c r="E117" t="str">
        <f>"2019/10/18 上午 12:00:00"</f>
        <v>2019/10/18 上午 12:00:00</v>
      </c>
      <c r="F117" t="str">
        <f>"C1"</f>
        <v>C1</v>
      </c>
    </row>
    <row r="118" spans="1:6" ht="16.5">
      <c r="A118" t="str">
        <f>"AA007031803"</f>
        <v>AA007031803</v>
      </c>
      <c r="B118" t="str">
        <f>"張秀雲住宅新建工程"</f>
        <v>張秀雲住宅新建工程</v>
      </c>
      <c r="C118" t="str">
        <f>"(107)府建字第00069號"</f>
        <v>(107)府建字第00069號</v>
      </c>
      <c r="D118" t="str">
        <f>"108/10/07"</f>
        <v>108/10/07</v>
      </c>
      <c r="E118" t="str">
        <f>"2019/9/25 上午 12:00:00"</f>
        <v>2019/9/25 上午 12:00:00</v>
      </c>
      <c r="F118" t="s">
        <v>7</v>
      </c>
    </row>
    <row r="119" spans="1:6" ht="16.5">
      <c r="A119" t="str">
        <f>"AA007032083"</f>
        <v>AA007032083</v>
      </c>
      <c r="B119" t="str">
        <f>"吳克煜等人 楊梅區楊富段住宅新建工程"</f>
        <v>吳克煜等人 楊梅區楊富段住宅新建工程</v>
      </c>
      <c r="C119" t="str">
        <f>"(106)桃市都建執照字第會楊 01043 號"</f>
        <v>(106)桃市都建執照字第會楊 01043 號</v>
      </c>
      <c r="D119" t="str">
        <f>"108/10/26"</f>
        <v>108/10/26</v>
      </c>
      <c r="E119" t="str">
        <f>"2019/10/24 上午 12:00:00"</f>
        <v>2019/10/24 上午 12:00:00</v>
      </c>
      <c r="F119" t="str">
        <f>"B1"</f>
        <v>B1</v>
      </c>
    </row>
    <row r="120" spans="1:6" ht="16.5">
      <c r="A120" t="str">
        <f>"AA007032713"</f>
        <v>AA007032713</v>
      </c>
      <c r="B120" t="str">
        <f>"A1 張家文住宅新建工程                 "</f>
        <v>A1 張家文住宅新建工程                 </v>
      </c>
      <c r="C120" t="str">
        <f>"105中都建字第2073號"</f>
        <v>105中都建字第2073號</v>
      </c>
      <c r="D120" t="str">
        <f>"108/10/22"</f>
        <v>108/10/22</v>
      </c>
      <c r="E120" t="str">
        <f>"2019/10/21 上午 12:00:00"</f>
        <v>2019/10/21 上午 12:00:00</v>
      </c>
      <c r="F120" t="str">
        <f>"A1"</f>
        <v>A1</v>
      </c>
    </row>
    <row r="121" spans="1:6" ht="16.5">
      <c r="A121" t="str">
        <f>"AA007036795"</f>
        <v>AA007036795</v>
      </c>
      <c r="B121" t="str">
        <f>"C1-雲林縣虎尾鎮平和厝段48地號等4筆住宅新建工程"</f>
        <v>C1-雲林縣虎尾鎮平和厝段48地號等4筆住宅新建工程</v>
      </c>
      <c r="C121" t="str">
        <f>"107雲營建字第00069號"</f>
        <v>107雲營建字第00069號</v>
      </c>
      <c r="D121" t="str">
        <f>"108/10/31"</f>
        <v>108/10/31</v>
      </c>
      <c r="E121" t="str">
        <f>"2019/10/28 上午 12:00:00"</f>
        <v>2019/10/28 上午 12:00:00</v>
      </c>
      <c r="F121" t="str">
        <f>"C1"</f>
        <v>C1</v>
      </c>
    </row>
    <row r="122" spans="1:6" ht="16.5">
      <c r="A122" t="str">
        <f>"AA007037338"</f>
        <v>AA007037338</v>
      </c>
      <c r="B122" t="s">
        <v>18</v>
      </c>
      <c r="C122" t="str">
        <f>"(107)(雲)營建字第00191號"</f>
        <v>(107)(雲)營建字第00191號</v>
      </c>
      <c r="D122" t="str">
        <f>"108/10/31"</f>
        <v>108/10/31</v>
      </c>
      <c r="E122" t="str">
        <f>"2019/10/28 上午 12:00:00"</f>
        <v>2019/10/28 上午 12:00:00</v>
      </c>
      <c r="F122" t="str">
        <f>"B1"</f>
        <v>B1</v>
      </c>
    </row>
    <row r="123" spans="1:6" ht="16.5">
      <c r="A123" t="str">
        <f>"AA007037789"</f>
        <v>AA007037789</v>
      </c>
      <c r="B123" t="str">
        <f>"B1 主將建設有限公司住宅新建工程"</f>
        <v>B1 主將建設有限公司住宅新建工程</v>
      </c>
      <c r="C123" t="str">
        <f>"107中都建字第00471號"</f>
        <v>107中都建字第00471號</v>
      </c>
      <c r="D123" t="str">
        <f>"108/10/15"</f>
        <v>108/10/15</v>
      </c>
      <c r="E123" t="str">
        <f>"2019/10/9 上午 12:00:00"</f>
        <v>2019/10/9 上午 12:00:00</v>
      </c>
      <c r="F123" t="str">
        <f>"B1"</f>
        <v>B1</v>
      </c>
    </row>
    <row r="124" spans="1:6" ht="16.5">
      <c r="A124" t="str">
        <f>"AA007037810"</f>
        <v>AA007037810</v>
      </c>
      <c r="B124" t="str">
        <f>"黃珮綺住宅新建工程"</f>
        <v>黃珮綺住宅新建工程</v>
      </c>
      <c r="C124" t="str">
        <f>"(107)南工造字第00058號"</f>
        <v>(107)南工造字第00058號</v>
      </c>
      <c r="D124" t="str">
        <f>"108/10/23"</f>
        <v>108/10/23</v>
      </c>
      <c r="E124" t="str">
        <f>"2019/10/23 上午 12:00:00"</f>
        <v>2019/10/23 上午 12:00:00</v>
      </c>
      <c r="F124" t="str">
        <f>"A1"</f>
        <v>A1</v>
      </c>
    </row>
    <row r="125" spans="1:6" ht="16.5">
      <c r="A125" t="str">
        <f>"AA007038054"</f>
        <v>AA007038054</v>
      </c>
      <c r="B125" t="str">
        <f>"范 振 崣 中山段住宅新建工程"</f>
        <v>范 振 崣 中山段住宅新建工程</v>
      </c>
      <c r="C125" t="str">
        <f>"(107)桃市都建執照字第會龍00224號"</f>
        <v>(107)桃市都建執照字第會龍00224號</v>
      </c>
      <c r="D125" t="str">
        <f>"108/10/21"</f>
        <v>108/10/21</v>
      </c>
      <c r="E125" t="str">
        <f>"2019/10/18 上午 12:00:00"</f>
        <v>2019/10/18 上午 12:00:00</v>
      </c>
      <c r="F125" t="str">
        <f>"A1"</f>
        <v>A1</v>
      </c>
    </row>
    <row r="126" spans="1:6" ht="16.5">
      <c r="A126" t="str">
        <f>"AA007039630"</f>
        <v>AA007039630</v>
      </c>
      <c r="B126" t="str">
        <f>"陳永銘3F*1戶住宅新建工程"</f>
        <v>陳永銘3F*1戶住宅新建工程</v>
      </c>
      <c r="C126" t="str">
        <f>"(107)南工造字第00596號"</f>
        <v>(107)南工造字第00596號</v>
      </c>
      <c r="D126" t="str">
        <f>"108/10/02"</f>
        <v>108/10/02</v>
      </c>
      <c r="E126" t="str">
        <f>"2019/10/2 上午 12:00:00"</f>
        <v>2019/10/2 上午 12:00:00</v>
      </c>
      <c r="F126" t="str">
        <f>"A1"</f>
        <v>A1</v>
      </c>
    </row>
    <row r="127" spans="1:6" ht="16.5">
      <c r="A127" t="str">
        <f>"AA007039652"</f>
        <v>AA007039652</v>
      </c>
      <c r="B127" t="str">
        <f>"蘇王金治等五戶"</f>
        <v>蘇王金治等五戶</v>
      </c>
      <c r="C127" t="str">
        <f>"(107)高市工建築字第00377~00381號"</f>
        <v>(107)高市工建築字第00377~00381號</v>
      </c>
      <c r="D127" t="str">
        <f>"108/10/24"</f>
        <v>108/10/24</v>
      </c>
      <c r="E127" t="str">
        <f>"2019/10/24 上午 12:00:00"</f>
        <v>2019/10/24 上午 12:00:00</v>
      </c>
      <c r="F127" t="str">
        <f>"A1"</f>
        <v>A1</v>
      </c>
    </row>
    <row r="128" spans="1:6" ht="16.5">
      <c r="A128" t="str">
        <f>"AA007040589"</f>
        <v>AA007040589</v>
      </c>
      <c r="B128" t="str">
        <f>"許瑋倪店舖、住宅新建工程"</f>
        <v>許瑋倪店舖、住宅新建工程</v>
      </c>
      <c r="C128" t="str">
        <f>"(107)府建字第00090號"</f>
        <v>(107)府建字第00090號</v>
      </c>
      <c r="D128" t="str">
        <f>"108/10/21"</f>
        <v>108/10/21</v>
      </c>
      <c r="E128" t="str">
        <f>"2019/10/21 上午 12:00:00"</f>
        <v>2019/10/21 上午 12:00:00</v>
      </c>
      <c r="F128" t="s">
        <v>7</v>
      </c>
    </row>
    <row r="129" spans="1:6" ht="16.5">
      <c r="A129" t="str">
        <f>"AA007040713"</f>
        <v>AA007040713</v>
      </c>
      <c r="B129" t="str">
        <f>"A1x2 林漢彬等2人住宅新建工程"</f>
        <v>A1x2 林漢彬等2人住宅新建工程</v>
      </c>
      <c r="C129" t="str">
        <f>"107中都建字第00459~00460號"</f>
        <v>107中都建字第00459~00460號</v>
      </c>
      <c r="D129" t="str">
        <f>"108/10/29"</f>
        <v>108/10/29</v>
      </c>
      <c r="E129" t="str">
        <f>"2019/10/28 上午 12:00:00"</f>
        <v>2019/10/28 上午 12:00:00</v>
      </c>
      <c r="F129" t="str">
        <f>"A1"</f>
        <v>A1</v>
      </c>
    </row>
    <row r="130" spans="1:6" ht="16.5">
      <c r="A130" t="str">
        <f>"AA007040981"</f>
        <v>AA007040981</v>
      </c>
      <c r="B130" t="str">
        <f>"A1、A2雙合建設吉興段住宅新建工程(2戶)"</f>
        <v>A1、A2雙合建設吉興段住宅新建工程(2戶)</v>
      </c>
      <c r="C130" t="str">
        <f>"花建執照字第107A0067號"</f>
        <v>花建執照字第107A0067號</v>
      </c>
      <c r="D130" t="str">
        <f>"108/10/05"</f>
        <v>108/10/05</v>
      </c>
      <c r="E130" t="str">
        <f>"2019/10/2 上午 12:00:00"</f>
        <v>2019/10/2 上午 12:00:00</v>
      </c>
      <c r="F130" t="s">
        <v>7</v>
      </c>
    </row>
    <row r="131" spans="1:6" ht="16.5">
      <c r="A131" t="str">
        <f>"AA007041460"</f>
        <v>AA007041460</v>
      </c>
      <c r="B131" t="str">
        <f>"袁邱玉英    自用農舍新建工程"</f>
        <v>袁邱玉英    自用農舍新建工程</v>
      </c>
      <c r="C131" t="str">
        <f>"(107)桃市都建執照字第會楊00136號"</f>
        <v>(107)桃市都建執照字第會楊00136號</v>
      </c>
      <c r="D131" t="str">
        <f>"108/10/07"</f>
        <v>108/10/07</v>
      </c>
      <c r="E131" t="str">
        <f>"2019/10/4 上午 12:00:00"</f>
        <v>2019/10/4 上午 12:00:00</v>
      </c>
      <c r="F131" t="str">
        <f aca="true" t="shared" si="0" ref="F131:F137">"A1"</f>
        <v>A1</v>
      </c>
    </row>
    <row r="132" spans="1:6" ht="16.5">
      <c r="A132" t="str">
        <f>"AA007043652"</f>
        <v>AA007043652</v>
      </c>
      <c r="B132" t="str">
        <f>"東拾建設事業股份有限公司住宅新建工程"</f>
        <v>東拾建設事業股份有限公司住宅新建工程</v>
      </c>
      <c r="C132" t="str">
        <f>"(106)南工造字第02249-01"</f>
        <v>(106)南工造字第02249-01</v>
      </c>
      <c r="D132" t="str">
        <f>"108/10/17"</f>
        <v>108/10/17</v>
      </c>
      <c r="E132" t="str">
        <f>"2019/10/17 上午 12:00:00"</f>
        <v>2019/10/17 上午 12:00:00</v>
      </c>
      <c r="F132" t="str">
        <f t="shared" si="0"/>
        <v>A1</v>
      </c>
    </row>
    <row r="133" spans="1:6" ht="16.5">
      <c r="A133" t="str">
        <f>"AA007043665"</f>
        <v>AA007043665</v>
      </c>
      <c r="B133" t="str">
        <f>"A1-李佳芬住宅新建工程"</f>
        <v>A1-李佳芬住宅新建工程</v>
      </c>
      <c r="C133" t="str">
        <f>"A107嘉市府都建執字第000110號"</f>
        <v>A107嘉市府都建執字第000110號</v>
      </c>
      <c r="D133" t="str">
        <f>"108/10/16"</f>
        <v>108/10/16</v>
      </c>
      <c r="E133" t="str">
        <f>"2019/10/16 上午 12:00:00"</f>
        <v>2019/10/16 上午 12:00:00</v>
      </c>
      <c r="F133" t="str">
        <f t="shared" si="0"/>
        <v>A1</v>
      </c>
    </row>
    <row r="134" spans="1:6" ht="16.5">
      <c r="A134" t="str">
        <f>"AA007044382"</f>
        <v>AA007044382</v>
      </c>
      <c r="B134" t="str">
        <f>"楠梓區藍田西段22-2地號住宅新建工程"</f>
        <v>楠梓區藍田西段22-2地號住宅新建工程</v>
      </c>
      <c r="C134" t="str">
        <f>"(107)高市工建築字第00386號"</f>
        <v>(107)高市工建築字第00386號</v>
      </c>
      <c r="D134" t="str">
        <f>"108/10/19"</f>
        <v>108/10/19</v>
      </c>
      <c r="E134" t="str">
        <f>"2019/10/18 上午 12:00:00"</f>
        <v>2019/10/18 上午 12:00:00</v>
      </c>
      <c r="F134" t="str">
        <f t="shared" si="0"/>
        <v>A1</v>
      </c>
    </row>
    <row r="135" spans="1:6" ht="16.5">
      <c r="A135" t="str">
        <f>"AA007044618"</f>
        <v>AA007044618</v>
      </c>
      <c r="B135" t="str">
        <f>"A1-張宗仁郭慶忠等人住宅新建工程"</f>
        <v>A1-張宗仁郭慶忠等人住宅新建工程</v>
      </c>
      <c r="C135" t="str">
        <f>"107嘉市府都建執字第095-096號"</f>
        <v>107嘉市府都建執字第095-096號</v>
      </c>
      <c r="D135" t="str">
        <f>"108/10/22"</f>
        <v>108/10/22</v>
      </c>
      <c r="E135" t="str">
        <f>"2019/10/17 上午 12:00:00"</f>
        <v>2019/10/17 上午 12:00:00</v>
      </c>
      <c r="F135" t="str">
        <f t="shared" si="0"/>
        <v>A1</v>
      </c>
    </row>
    <row r="136" spans="1:6" ht="16.5">
      <c r="A136" t="str">
        <f>"AA007044699"</f>
        <v>AA007044699</v>
      </c>
      <c r="B136" t="str">
        <f>"閎順建設有限公司-住宅新建工程"</f>
        <v>閎順建設有限公司-住宅新建工程</v>
      </c>
      <c r="C136" t="str">
        <f>"(107)(麥)鄉營建字第00001~00022號"</f>
        <v>(107)(麥)鄉營建字第00001~00022號</v>
      </c>
      <c r="D136" t="str">
        <f>"108/10/02"</f>
        <v>108/10/02</v>
      </c>
      <c r="E136" t="str">
        <f>"2019/10/2 上午 12:00:00"</f>
        <v>2019/10/2 上午 12:00:00</v>
      </c>
      <c r="F136" t="str">
        <f t="shared" si="0"/>
        <v>A1</v>
      </c>
    </row>
    <row r="137" spans="1:6" ht="16.5">
      <c r="A137" t="str">
        <f>"AA007045263"</f>
        <v>AA007045263</v>
      </c>
      <c r="B137" t="str">
        <f>"李佳樺.李雪瑛等2戶住宅新建工程"</f>
        <v>李佳樺.李雪瑛等2戶住宅新建工程</v>
      </c>
      <c r="C137" t="s">
        <v>19</v>
      </c>
      <c r="D137" t="str">
        <f>"108/10/29"</f>
        <v>108/10/29</v>
      </c>
      <c r="E137" t="str">
        <f>"2019/10/25 上午 12:00:00"</f>
        <v>2019/10/25 上午 12:00:00</v>
      </c>
      <c r="F137" t="str">
        <f t="shared" si="0"/>
        <v>A1</v>
      </c>
    </row>
    <row r="138" spans="1:6" ht="16.5">
      <c r="A138" t="str">
        <f>"AA007046209"</f>
        <v>AA007046209</v>
      </c>
      <c r="B138" t="str">
        <f>"富立騏建設有限公司  中壢區青溪段集合住宅新建工程"</f>
        <v>富立騏建設有限公司  中壢區青溪段集合住宅新建工程</v>
      </c>
      <c r="C138" t="str">
        <f>"(106)桃市都建執照字第會壢 00615 號"</f>
        <v>(106)桃市都建執照字第會壢 00615 號</v>
      </c>
      <c r="D138" t="str">
        <f>"108/10/28"</f>
        <v>108/10/28</v>
      </c>
      <c r="E138" t="str">
        <f>"2019/10/9 上午 12:00:00"</f>
        <v>2019/10/9 上午 12:00:00</v>
      </c>
      <c r="F138" t="s">
        <v>13</v>
      </c>
    </row>
    <row r="139" spans="1:6" ht="16.5">
      <c r="A139" t="str">
        <f>"AA007046769"</f>
        <v>AA007046769</v>
      </c>
      <c r="B139" t="str">
        <f>"壹層房新建工程"</f>
        <v>壹層房新建工程</v>
      </c>
      <c r="C139" t="str">
        <f>"(106)桃市都建執照字第會蘆00248~00251號"</f>
        <v>(106)桃市都建執照字第會蘆00248~00251號</v>
      </c>
      <c r="D139" t="str">
        <f>"108/10/14"</f>
        <v>108/10/14</v>
      </c>
      <c r="E139" t="str">
        <f>"2019/10/2 上午 12:00:00"</f>
        <v>2019/10/2 上午 12:00:00</v>
      </c>
      <c r="F139" t="s">
        <v>13</v>
      </c>
    </row>
    <row r="140" spans="1:6" ht="16.5">
      <c r="A140" t="str">
        <f>"AA007046879"</f>
        <v>AA007046879</v>
      </c>
      <c r="B140" t="str">
        <f>"謝見正住宅新建工程"</f>
        <v>謝見正住宅新建工程</v>
      </c>
      <c r="C140" t="str">
        <f>"(107)(雲)營建字第00318號"</f>
        <v>(107)(雲)營建字第00318號</v>
      </c>
      <c r="D140" t="str">
        <f>"108/10/14"</f>
        <v>108/10/14</v>
      </c>
      <c r="E140" t="str">
        <f>"2019/10/14 上午 12:00:00"</f>
        <v>2019/10/14 上午 12:00:00</v>
      </c>
      <c r="F140" t="str">
        <f>"A1"</f>
        <v>A1</v>
      </c>
    </row>
    <row r="141" spans="1:6" ht="16.5">
      <c r="A141" t="str">
        <f>"AA007047683"</f>
        <v>AA007047683</v>
      </c>
      <c r="B141" t="str">
        <f>"吉利町有限公司 負責人：謝秀娥(4Fx4戶)住宅新建工程"</f>
        <v>吉利町有限公司 負責人：謝秀娥(4Fx4戶)住宅新建工程</v>
      </c>
      <c r="C141" t="str">
        <f>"(107)南工造字第01038~01041 號"</f>
        <v>(107)南工造字第01038~01041 號</v>
      </c>
      <c r="D141" t="str">
        <f>"108/10/18"</f>
        <v>108/10/18</v>
      </c>
      <c r="E141" t="str">
        <f>"2019/10/17 上午 12:00:00"</f>
        <v>2019/10/17 上午 12:00:00</v>
      </c>
      <c r="F141" t="str">
        <f>"A1"</f>
        <v>A1</v>
      </c>
    </row>
    <row r="142" spans="1:6" ht="16.5">
      <c r="A142" t="str">
        <f>"AA007047730"</f>
        <v>AA007047730</v>
      </c>
      <c r="B142" t="str">
        <f>"南港區經貿段37-2地號集合住宅新建工程"</f>
        <v>南港區經貿段37-2地號集合住宅新建工程</v>
      </c>
      <c r="C142" t="str">
        <f>"106建字第0037號"</f>
        <v>106建字第0037號</v>
      </c>
      <c r="D142" t="str">
        <f>"108/10/23"</f>
        <v>108/10/23</v>
      </c>
      <c r="E142" t="str">
        <f>"2019/10/21 上午 12:00:00"</f>
        <v>2019/10/21 上午 12:00:00</v>
      </c>
      <c r="F142" t="s">
        <v>13</v>
      </c>
    </row>
    <row r="143" spans="1:6" ht="16.5">
      <c r="A143" t="str">
        <f>"AA007047810"</f>
        <v>AA007047810</v>
      </c>
      <c r="B143" t="str">
        <f>"盛騰建設桃園市龍潭區和原段住宅新建工程"</f>
        <v>盛騰建設桃園市龍潭區和原段住宅新建工程</v>
      </c>
      <c r="C143" t="str">
        <f>"(107)桃市都建執照字第會龍00210號"</f>
        <v>(107)桃市都建執照字第會龍00210號</v>
      </c>
      <c r="D143" t="str">
        <f>"108/10/02"</f>
        <v>108/10/02</v>
      </c>
      <c r="E143" t="str">
        <f>"2019/9/19 上午 12:00:00"</f>
        <v>2019/9/19 上午 12:00:00</v>
      </c>
      <c r="F143" t="s">
        <v>13</v>
      </c>
    </row>
    <row r="144" spans="1:6" ht="16.5">
      <c r="A144" t="str">
        <f>"AA007047935"</f>
        <v>AA007047935</v>
      </c>
      <c r="B144" t="str">
        <f>"A1 莊黃秋芳住宅新建工程"</f>
        <v>A1 莊黃秋芳住宅新建工程</v>
      </c>
      <c r="C144" t="str">
        <f>"107福鄉建字第0000977號"</f>
        <v>107福鄉建字第0000977號</v>
      </c>
      <c r="D144" t="str">
        <f>"108/10/24"</f>
        <v>108/10/24</v>
      </c>
      <c r="E144" t="str">
        <f>"2019/10/24 上午 12:00:00"</f>
        <v>2019/10/24 上午 12:00:00</v>
      </c>
      <c r="F144" t="str">
        <f>"A1"</f>
        <v>A1</v>
      </c>
    </row>
    <row r="145" spans="1:6" ht="16.5">
      <c r="A145" t="str">
        <f>"AA007048258"</f>
        <v>AA007048258</v>
      </c>
      <c r="B145" t="str">
        <f>"許琇蓉住宅新建工程"</f>
        <v>許琇蓉住宅新建工程</v>
      </c>
      <c r="C145" t="str">
        <f>"(107)南工造字第01117號"</f>
        <v>(107)南工造字第01117號</v>
      </c>
      <c r="D145" t="str">
        <f>"108/10/14"</f>
        <v>108/10/14</v>
      </c>
      <c r="E145" t="str">
        <f>"2019/10/14 上午 12:00:00"</f>
        <v>2019/10/14 上午 12:00:00</v>
      </c>
      <c r="F145" t="str">
        <f>"A1"</f>
        <v>A1</v>
      </c>
    </row>
    <row r="146" spans="1:6" ht="16.5">
      <c r="A146" t="str">
        <f>"AA007049533"</f>
        <v>AA007049533</v>
      </c>
      <c r="B146" t="str">
        <f>"裕益汽車路竹維修廠新建工程"</f>
        <v>裕益汽車路竹維修廠新建工程</v>
      </c>
      <c r="C146" t="str">
        <f>"（107）高市工建築字第00510號"</f>
        <v>（107）高市工建築字第00510號</v>
      </c>
      <c r="D146" t="str">
        <f>"108/10/15"</f>
        <v>108/10/15</v>
      </c>
      <c r="E146" t="str">
        <f>"2019/10/15 上午 12:00:00"</f>
        <v>2019/10/15 上午 12:00:00</v>
      </c>
      <c r="F146" t="s">
        <v>13</v>
      </c>
    </row>
    <row r="147" spans="1:6" ht="16.5">
      <c r="A147" t="str">
        <f>"AA007049720"</f>
        <v>AA007049720</v>
      </c>
      <c r="B147" t="str">
        <f>"吉悅宇股份有限公司住宅新建工程"</f>
        <v>吉悅宇股份有限公司住宅新建工程</v>
      </c>
      <c r="C147" t="str">
        <f>"(107)高市工建築字第00519號"</f>
        <v>(107)高市工建築字第00519號</v>
      </c>
      <c r="D147" t="str">
        <f>"108/10/15"</f>
        <v>108/10/15</v>
      </c>
      <c r="E147" t="str">
        <f>"2019/10/7 上午 12:00:00"</f>
        <v>2019/10/7 上午 12:00:00</v>
      </c>
      <c r="F147" t="str">
        <f>"A1"</f>
        <v>A1</v>
      </c>
    </row>
    <row r="148" spans="1:6" ht="16.5">
      <c r="A148" t="str">
        <f>"AA007050007"</f>
        <v>AA007050007</v>
      </c>
      <c r="B148" t="str">
        <f>"C1汎德永業汽車股份有限公司PORSCHE 4S內湖廠新建工程"</f>
        <v>C1汎德永業汽車股份有限公司PORSCHE 4S內湖廠新建工程</v>
      </c>
      <c r="C148" t="str">
        <f>"107建字第0049號"</f>
        <v>107建字第0049號</v>
      </c>
      <c r="D148" t="str">
        <f>"108/10/16"</f>
        <v>108/10/16</v>
      </c>
      <c r="E148" t="str">
        <f>"2019/10/16 上午 12:00:00"</f>
        <v>2019/10/16 上午 12:00:00</v>
      </c>
      <c r="F148" t="str">
        <f>"C1"</f>
        <v>C1</v>
      </c>
    </row>
    <row r="149" spans="1:6" ht="16.5">
      <c r="A149" t="str">
        <f>"AA007050414"</f>
        <v>AA007050414</v>
      </c>
      <c r="B149" t="str">
        <f>"鄭香淼新建住宅"</f>
        <v>鄭香淼新建住宅</v>
      </c>
      <c r="C149" t="str">
        <f>"(107)府建字第00102號"</f>
        <v>(107)府建字第00102號</v>
      </c>
      <c r="D149" t="str">
        <f>"108/10/21"</f>
        <v>108/10/21</v>
      </c>
      <c r="E149" t="str">
        <f>"2019/10/8 上午 12:00:00"</f>
        <v>2019/10/8 上午 12:00:00</v>
      </c>
      <c r="F149" t="str">
        <f>"A1"</f>
        <v>A1</v>
      </c>
    </row>
    <row r="150" spans="1:6" ht="16.5">
      <c r="A150" t="str">
        <f>"AA007051144"</f>
        <v>AA007051144</v>
      </c>
      <c r="B150" t="str">
        <f>"C1-(蔡適澤)虎尾鎮光明段286-173地號工廠新建工程"</f>
        <v>C1-(蔡適澤)虎尾鎮光明段286-173地號工廠新建工程</v>
      </c>
      <c r="C150" t="str">
        <f>"(107)(雲)營建字第00251號"</f>
        <v>(107)(雲)營建字第00251號</v>
      </c>
      <c r="D150" t="str">
        <f>"108/10/14"</f>
        <v>108/10/14</v>
      </c>
      <c r="E150" t="str">
        <f>"2019/10/3 上午 12:00:00"</f>
        <v>2019/10/3 上午 12:00:00</v>
      </c>
      <c r="F150" t="str">
        <f>"C1"</f>
        <v>C1</v>
      </c>
    </row>
    <row r="151" spans="1:6" ht="16.5">
      <c r="A151" t="str">
        <f>"AA007051401"</f>
        <v>AA007051401</v>
      </c>
      <c r="B151" t="str">
        <f>"財團法人台灣基督長老教會林子內教會靈修綜合大樓新建工程"</f>
        <v>財團法人台灣基督長老教會林子內教會靈修綜合大樓新建工程</v>
      </c>
      <c r="C151" t="str">
        <f>"(106)南工造字第04224-01號"</f>
        <v>(106)南工造字第04224-01號</v>
      </c>
      <c r="D151" t="str">
        <f>"108/10/01"</f>
        <v>108/10/01</v>
      </c>
      <c r="E151" t="str">
        <f>"2019/9/30 上午 12:00:00"</f>
        <v>2019/9/30 上午 12:00:00</v>
      </c>
      <c r="F151" t="s">
        <v>13</v>
      </c>
    </row>
    <row r="152" spans="1:6" ht="16.5">
      <c r="A152" t="str">
        <f>"AA007051949"</f>
        <v>AA007051949</v>
      </c>
      <c r="B152" t="str">
        <f>"易增工程有限公司 負責人：洪麗慧(5Fx1戶) 住宅新建工程"</f>
        <v>易增工程有限公司 負責人：洪麗慧(5Fx1戶) 住宅新建工程</v>
      </c>
      <c r="C152" t="str">
        <f>"(107)高市工建築字第00418號"</f>
        <v>(107)高市工建築字第00418號</v>
      </c>
      <c r="D152" t="str">
        <f>"108/10/09"</f>
        <v>108/10/09</v>
      </c>
      <c r="E152" t="str">
        <f>"2019/10/7 上午 12:00:00"</f>
        <v>2019/10/7 上午 12:00:00</v>
      </c>
      <c r="F152" t="str">
        <f>"A1"</f>
        <v>A1</v>
      </c>
    </row>
    <row r="153" spans="1:6" ht="16.5">
      <c r="A153" t="str">
        <f>"AA007052126"</f>
        <v>AA007052126</v>
      </c>
      <c r="B153" t="str">
        <f>"昇樺建設迴龍段玖層集合住宅新建工程"</f>
        <v>昇樺建設迴龍段玖層集合住宅新建工程</v>
      </c>
      <c r="C153" t="str">
        <f>"(107)桃市都建執照字第會龜00348號"</f>
        <v>(107)桃市都建執照字第會龜00348號</v>
      </c>
      <c r="D153" t="str">
        <f>"108/10/15"</f>
        <v>108/10/15</v>
      </c>
      <c r="E153" t="str">
        <f>"2019/10/7 上午 12:00:00"</f>
        <v>2019/10/7 上午 12:00:00</v>
      </c>
      <c r="F153" t="s">
        <v>13</v>
      </c>
    </row>
    <row r="154" spans="1:6" ht="16.5">
      <c r="A154" t="str">
        <f>"AA007052755"</f>
        <v>AA007052755</v>
      </c>
      <c r="B154" t="str">
        <f>"C1(C2)佑慶建設股份有限公司店舖、住宅、辦公室新建工程"</f>
        <v>C1(C2)佑慶建設股份有限公司店舖、住宅、辦公室新建工程</v>
      </c>
      <c r="C154" t="str">
        <f>"107中都建字第00346號"</f>
        <v>107中都建字第00346號</v>
      </c>
      <c r="D154" t="str">
        <f>"108/10/29"</f>
        <v>108/10/29</v>
      </c>
      <c r="E154" t="str">
        <f>"2019/10/28 上午 12:00:00"</f>
        <v>2019/10/28 上午 12:00:00</v>
      </c>
      <c r="F154" t="s">
        <v>13</v>
      </c>
    </row>
    <row r="155" spans="1:6" ht="16.5">
      <c r="A155" t="str">
        <f>"AA007053708"</f>
        <v>AA007053708</v>
      </c>
      <c r="B155" t="str">
        <f>"高雄市十全滯洪公園工程(立體停車場)"</f>
        <v>高雄市十全滯洪公園工程(立體停車場)</v>
      </c>
      <c r="C155" t="str">
        <f>"(高雄市政府工務局 函)：發文字號 高市工務建字第10730079400號"</f>
        <v>(高雄市政府工務局 函)：發文字號 高市工務建字第10730079400號</v>
      </c>
      <c r="D155" t="str">
        <f>"108/10/07"</f>
        <v>108/10/07</v>
      </c>
      <c r="E155" t="str">
        <f>"2019/9/30 上午 12:00:00"</f>
        <v>2019/9/30 上午 12:00:00</v>
      </c>
      <c r="F155" t="s">
        <v>13</v>
      </c>
    </row>
    <row r="156" spans="1:6" ht="16.5">
      <c r="A156" t="str">
        <f>"AA007054168"</f>
        <v>AA007054168</v>
      </c>
      <c r="B156" t="str">
        <f>"C1-寬庭開發建築有限公司"</f>
        <v>C1-寬庭開發建築有限公司</v>
      </c>
      <c r="C156" t="str">
        <f>"(107)(雲)營建字第372號"</f>
        <v>(107)(雲)營建字第372號</v>
      </c>
      <c r="D156" t="str">
        <f>"108/10/05"</f>
        <v>108/10/05</v>
      </c>
      <c r="E156" t="str">
        <f>"2019/9/30 上午 12:00:00"</f>
        <v>2019/9/30 上午 12:00:00</v>
      </c>
      <c r="F156" t="str">
        <f>"C1"</f>
        <v>C1</v>
      </c>
    </row>
    <row r="157" spans="1:6" ht="16.5">
      <c r="A157" t="str">
        <f>"AA007054216"</f>
        <v>AA007054216</v>
      </c>
      <c r="B157" t="str">
        <f>"北屋段住宅新建工程"</f>
        <v>北屋段住宅新建工程</v>
      </c>
      <c r="C157" t="str">
        <f>"(107)高市工建築字第00539~00544號"</f>
        <v>(107)高市工建築字第00539~00544號</v>
      </c>
      <c r="D157" t="str">
        <f>"108/10/17"</f>
        <v>108/10/17</v>
      </c>
      <c r="E157" t="str">
        <f>"2019/10/8 上午 12:00:00"</f>
        <v>2019/10/8 上午 12:00:00</v>
      </c>
      <c r="F157" t="s">
        <v>7</v>
      </c>
    </row>
    <row r="158" spans="1:6" ht="16.5">
      <c r="A158" t="str">
        <f>"AA007054518"</f>
        <v>AA007054518</v>
      </c>
      <c r="B158" t="str">
        <f>"大澤科技有限公司廠房新建工程"</f>
        <v>大澤科技有限公司廠房新建工程</v>
      </c>
      <c r="C158" t="str">
        <f>"(107)南工造字第00976號"</f>
        <v>(107)南工造字第00976號</v>
      </c>
      <c r="D158" t="str">
        <f>"108/10/16"</f>
        <v>108/10/16</v>
      </c>
      <c r="E158" t="str">
        <f>"2019/10/9 上午 12:00:00"</f>
        <v>2019/10/9 上午 12:00:00</v>
      </c>
      <c r="F158" t="s">
        <v>13</v>
      </c>
    </row>
    <row r="159" spans="1:6" ht="16.5">
      <c r="A159" t="str">
        <f>"AA007054618"</f>
        <v>AA007054618</v>
      </c>
      <c r="B159" t="str">
        <f>"陳星吉住宅新建工程"</f>
        <v>陳星吉住宅新建工程</v>
      </c>
      <c r="C159" t="str">
        <f>"(107)南工造字第01289號"</f>
        <v>(107)南工造字第01289號</v>
      </c>
      <c r="D159" t="str">
        <f>"108/10/23"</f>
        <v>108/10/23</v>
      </c>
      <c r="E159" t="str">
        <f>"2019/10/23 上午 12:00:00"</f>
        <v>2019/10/23 上午 12:00:00</v>
      </c>
      <c r="F159" t="str">
        <f>"A1"</f>
        <v>A1</v>
      </c>
    </row>
    <row r="160" spans="1:6" ht="16.5">
      <c r="A160" t="str">
        <f>"AA007055158"</f>
        <v>AA007055158</v>
      </c>
      <c r="B160" t="str">
        <f>"顏成澤住宅新建工程"</f>
        <v>顏成澤住宅新建工程</v>
      </c>
      <c r="C160" t="str">
        <f>"(107)府建造字第06408號"</f>
        <v>(107)府建造字第06408號</v>
      </c>
      <c r="D160" t="str">
        <f>"108/10/23"</f>
        <v>108/10/23</v>
      </c>
      <c r="E160" t="str">
        <f>"2019/10/9 上午 12:00:00"</f>
        <v>2019/10/9 上午 12:00:00</v>
      </c>
      <c r="F160" t="str">
        <f>"A1"</f>
        <v>A1</v>
      </c>
    </row>
    <row r="161" spans="1:6" ht="16.5">
      <c r="A161" t="str">
        <f>"AA007056528"</f>
        <v>AA007056528</v>
      </c>
      <c r="B161" t="str">
        <f>"陳泯樺等人-廠房新建工程"</f>
        <v>陳泯樺等人-廠房新建工程</v>
      </c>
      <c r="C161" t="str">
        <f>"(106)桃市都建執照字第會蘆01124-01號"</f>
        <v>(106)桃市都建執照字第會蘆01124-01號</v>
      </c>
      <c r="D161" t="str">
        <f>"108/10/29"</f>
        <v>108/10/29</v>
      </c>
      <c r="E161" t="str">
        <f>"2019/10/15 上午 12:00:00"</f>
        <v>2019/10/15 上午 12:00:00</v>
      </c>
      <c r="F161" t="str">
        <f>"B1"</f>
        <v>B1</v>
      </c>
    </row>
    <row r="162" spans="1:6" ht="16.5">
      <c r="A162" t="str">
        <f>"AA007056900"</f>
        <v>AA007056900</v>
      </c>
      <c r="B162" t="str">
        <f>"康智淵(4Fx1戶)住宅、停車空間"</f>
        <v>康智淵(4Fx1戶)住宅、停車空間</v>
      </c>
      <c r="C162" t="str">
        <f>"(107)南工造字第01230號"</f>
        <v>(107)南工造字第01230號</v>
      </c>
      <c r="D162" t="str">
        <f>"108/10/25"</f>
        <v>108/10/25</v>
      </c>
      <c r="E162" t="str">
        <f>"2019/10/24 上午 12:00:00"</f>
        <v>2019/10/24 上午 12:00:00</v>
      </c>
      <c r="F162" t="str">
        <f>"A1"</f>
        <v>A1</v>
      </c>
    </row>
    <row r="163" spans="1:6" ht="16.5">
      <c r="A163" t="str">
        <f>"AA007057998"</f>
        <v>AA007057998</v>
      </c>
      <c r="B163" t="str">
        <f>"C1楊梅都市計畫兒(八)遊樂場用地興建親子館兼里民活動中心委託設計及監造服務"</f>
        <v>C1楊梅都市計畫兒(八)遊樂場用地興建親子館兼里民活動中心委託設計及監造服務</v>
      </c>
      <c r="C163" t="str">
        <f>"(107)桃市都建執照字第會楊00253號"</f>
        <v>(107)桃市都建執照字第會楊00253號</v>
      </c>
      <c r="D163" t="str">
        <f>"108/10/21"</f>
        <v>108/10/21</v>
      </c>
      <c r="E163" t="str">
        <f>"2019/10/2 上午 12:00:00"</f>
        <v>2019/10/2 上午 12:00:00</v>
      </c>
      <c r="F163" t="s">
        <v>13</v>
      </c>
    </row>
    <row r="164" spans="1:6" ht="16.5">
      <c r="A164" t="str">
        <f>"AA007058068"</f>
        <v>AA007058068</v>
      </c>
      <c r="B164" t="str">
        <f>"C1 中勝國際股份有限公司廠房新建工程"</f>
        <v>C1 中勝國際股份有限公司廠房新建工程</v>
      </c>
      <c r="C164" t="str">
        <f>"107中都建字第00461號"</f>
        <v>107中都建字第00461號</v>
      </c>
      <c r="D164" t="str">
        <f>"108/10/05"</f>
        <v>108/10/05</v>
      </c>
      <c r="E164" t="str">
        <f>"2019/10/5 上午 12:00:00"</f>
        <v>2019/10/5 上午 12:00:00</v>
      </c>
      <c r="F164" t="str">
        <f>"C1"</f>
        <v>C1</v>
      </c>
    </row>
    <row r="165" spans="1:6" ht="16.5">
      <c r="A165" t="str">
        <f>"AA007058270"</f>
        <v>AA007058270</v>
      </c>
      <c r="B165" t="str">
        <f>"范姜士翔住宅新建工程"</f>
        <v>范姜士翔住宅新建工程</v>
      </c>
      <c r="C165" t="str">
        <f>"(107)府建字第00142號"</f>
        <v>(107)府建字第00142號</v>
      </c>
      <c r="D165" t="str">
        <f>"108/10/14"</f>
        <v>108/10/14</v>
      </c>
      <c r="E165" t="str">
        <f>"2019/10/5 上午 12:00:00"</f>
        <v>2019/10/5 上午 12:00:00</v>
      </c>
      <c r="F165" t="s">
        <v>7</v>
      </c>
    </row>
    <row r="166" spans="1:6" ht="16.5">
      <c r="A166" t="str">
        <f>"AA007058769"</f>
        <v>AA007058769</v>
      </c>
      <c r="B166" t="str">
        <f>"A1-福佑建設有限公司崙背11戶住宅新建工程"</f>
        <v>A1-福佑建設有限公司崙背11戶住宅新建工程</v>
      </c>
      <c r="C166" t="str">
        <f>"107雲營建字第407~417號"</f>
        <v>107雲營建字第407~417號</v>
      </c>
      <c r="D166" t="str">
        <f>"108/10/17"</f>
        <v>108/10/17</v>
      </c>
      <c r="E166" t="str">
        <f>"2019/10/17 上午 12:00:00"</f>
        <v>2019/10/17 上午 12:00:00</v>
      </c>
      <c r="F166" t="str">
        <f>"A1"</f>
        <v>A1</v>
      </c>
    </row>
    <row r="167" spans="1:6" ht="16.5">
      <c r="A167" t="str">
        <f>"AA007059414"</f>
        <v>AA007059414</v>
      </c>
      <c r="B167" t="str">
        <f>"C1-國立虎尾高級農工職業學校機械群科及商科教學實習大樓新建工程"</f>
        <v>C1-國立虎尾高級農工職業學校機械群科及商科教學實習大樓新建工程</v>
      </c>
      <c r="C167" t="str">
        <f>"(107)(雲)營建字第00367號"</f>
        <v>(107)(雲)營建字第00367號</v>
      </c>
      <c r="D167" t="str">
        <f>"108/10/03"</f>
        <v>108/10/03</v>
      </c>
      <c r="E167" t="str">
        <f>"2019/10/3 上午 12:00:00"</f>
        <v>2019/10/3 上午 12:00:00</v>
      </c>
      <c r="F167" t="s">
        <v>13</v>
      </c>
    </row>
    <row r="168" spans="1:6" ht="16.5">
      <c r="A168" t="str">
        <f>"AA007059789"</f>
        <v>AA007059789</v>
      </c>
      <c r="B168" t="str">
        <f>"日友環保科技(股)公司-廠房新建工程"</f>
        <v>日友環保科技(股)公司-廠房新建工程</v>
      </c>
      <c r="C168" t="str">
        <f>"(107)(雲)營建字第00373號"</f>
        <v>(107)(雲)營建字第00373號</v>
      </c>
      <c r="D168" t="str">
        <f>"108/10/28"</f>
        <v>108/10/28</v>
      </c>
      <c r="E168" t="str">
        <f>"2019/10/28 上午 12:00:00"</f>
        <v>2019/10/28 上午 12:00:00</v>
      </c>
      <c r="F168" t="str">
        <f>"C1"</f>
        <v>C1</v>
      </c>
    </row>
    <row r="169" spans="1:6" ht="16.5">
      <c r="A169" t="str">
        <f>"AA007060144"</f>
        <v>AA007060144</v>
      </c>
      <c r="B169" t="str">
        <f>"C1總興建設有限公司土庫大荖段住宅新建工程"</f>
        <v>C1總興建設有限公司土庫大荖段住宅新建工程</v>
      </c>
      <c r="C169" t="str">
        <f>"(107)(土)營建字第00008號"</f>
        <v>(107)(土)營建字第00008號</v>
      </c>
      <c r="D169" t="str">
        <f>"108/10/14"</f>
        <v>108/10/14</v>
      </c>
      <c r="E169" t="str">
        <f>"2019/10/1 上午 12:00:00"</f>
        <v>2019/10/1 上午 12:00:00</v>
      </c>
      <c r="F169" t="s">
        <v>13</v>
      </c>
    </row>
    <row r="170" spans="1:6" ht="16.5">
      <c r="A170" t="str">
        <f>"AA007060180"</f>
        <v>AA007060180</v>
      </c>
      <c r="B170" t="str">
        <f>"C1 中港皇品建設股份有限公司住宅新建工程"</f>
        <v>C1 中港皇品建設股份有限公司住宅新建工程</v>
      </c>
      <c r="C170" t="str">
        <f>"107中都建字第00708號"</f>
        <v>107中都建字第00708號</v>
      </c>
      <c r="D170" t="str">
        <f>"108/10/05"</f>
        <v>108/10/05</v>
      </c>
      <c r="E170" t="str">
        <f>"2019/10/5 上午 12:00:00"</f>
        <v>2019/10/5 上午 12:00:00</v>
      </c>
      <c r="F170" t="str">
        <f>"C1"</f>
        <v>C1</v>
      </c>
    </row>
    <row r="171" spans="1:6" ht="16.5">
      <c r="A171" t="str">
        <f>"AA007060640"</f>
        <v>AA007060640</v>
      </c>
      <c r="B171" t="str">
        <f>"大造建築楊梅區梅獅段住宅新建工程"</f>
        <v>大造建築楊梅區梅獅段住宅新建工程</v>
      </c>
      <c r="C171" t="str">
        <f>"(107)桃市都建執照字第會楊00258號"</f>
        <v>(107)桃市都建執照字第會楊00258號</v>
      </c>
      <c r="D171" t="str">
        <f>"108/10/16"</f>
        <v>108/10/16</v>
      </c>
      <c r="E171" t="str">
        <f>"2019/9/10 上午 12:00:00"</f>
        <v>2019/9/10 上午 12:00:00</v>
      </c>
      <c r="F171" t="s">
        <v>9</v>
      </c>
    </row>
    <row r="172" spans="1:6" ht="16.5">
      <c r="A172" t="str">
        <f>"AA007061504"</f>
        <v>AA007061504</v>
      </c>
      <c r="B172" t="str">
        <f>"耀捷建設 觀音區草富段住宅新建工程"</f>
        <v>耀捷建設 觀音區草富段住宅新建工程</v>
      </c>
      <c r="C172" t="str">
        <f>"(107)桃市都建執照字第會觀00289號"</f>
        <v>(107)桃市都建執照字第會觀00289號</v>
      </c>
      <c r="D172" t="str">
        <f>"108/10/02"</f>
        <v>108/10/02</v>
      </c>
      <c r="E172" t="str">
        <f>"2019/9/26 上午 12:00:00"</f>
        <v>2019/9/26 上午 12:00:00</v>
      </c>
      <c r="F172" t="s">
        <v>9</v>
      </c>
    </row>
    <row r="173" spans="1:6" ht="16.5">
      <c r="A173" t="str">
        <f>"AA007062438"</f>
        <v>AA007062438</v>
      </c>
      <c r="B173" t="str">
        <f>"蘇照仁(1Fx2戶) 工廠"</f>
        <v>蘇照仁(1Fx2戶) 工廠</v>
      </c>
      <c r="C173" t="str">
        <f>"(107)南工造字第01517號"</f>
        <v>(107)南工造字第01517號</v>
      </c>
      <c r="D173" t="str">
        <f>"108/10/03"</f>
        <v>108/10/03</v>
      </c>
      <c r="E173" t="str">
        <f>"2019/10/3 上午 12:00:00"</f>
        <v>2019/10/3 上午 12:00:00</v>
      </c>
      <c r="F173" t="str">
        <f>"C1"</f>
        <v>C1</v>
      </c>
    </row>
    <row r="174" spans="1:6" ht="16.5">
      <c r="A174" t="str">
        <f>"AA007062922"</f>
        <v>AA007062922</v>
      </c>
      <c r="B174" t="str">
        <f>"宜蘭市中興段住宅新建工程"</f>
        <v>宜蘭市中興段住宅新建工程</v>
      </c>
      <c r="C174" t="str">
        <f>"106.12.1建管建字第00687號"</f>
        <v>106.12.1建管建字第00687號</v>
      </c>
      <c r="D174" t="str">
        <f>"108/10/17"</f>
        <v>108/10/17</v>
      </c>
      <c r="E174" t="str">
        <f>"2019/10/17 上午 12:00:00"</f>
        <v>2019/10/17 上午 12:00:00</v>
      </c>
      <c r="F174" t="str">
        <f>"A1"</f>
        <v>A1</v>
      </c>
    </row>
    <row r="175" spans="1:6" ht="16.5">
      <c r="A175" t="str">
        <f>"AA007063306"</f>
        <v>AA007063306</v>
      </c>
      <c r="B175" t="str">
        <f>"洪淑瑩(4Fx1戶)住宅、旅館"</f>
        <v>洪淑瑩(4Fx1戶)住宅、旅館</v>
      </c>
      <c r="C175" t="str">
        <f>"(107)南工造字第01527號"</f>
        <v>(107)南工造字第01527號</v>
      </c>
      <c r="D175" t="str">
        <f>"108/10/02"</f>
        <v>108/10/02</v>
      </c>
      <c r="E175" t="str">
        <f>"2019/10/1 上午 12:00:00"</f>
        <v>2019/10/1 上午 12:00:00</v>
      </c>
      <c r="F175" t="str">
        <f>"C1"</f>
        <v>C1</v>
      </c>
    </row>
    <row r="176" spans="1:6" ht="16.5">
      <c r="A176" t="str">
        <f>"AA007063428"</f>
        <v>AA007063428</v>
      </c>
      <c r="B176" t="str">
        <f>"李晋毅等3人3FX3戶住宅新建工程"</f>
        <v>李晋毅等3人3FX3戶住宅新建工程</v>
      </c>
      <c r="C176" t="str">
        <f>"(107)南工造字第01642~01644號"</f>
        <v>(107)南工造字第01642~01644號</v>
      </c>
      <c r="D176" t="str">
        <f>"108/10/02"</f>
        <v>108/10/02</v>
      </c>
      <c r="E176" t="str">
        <f>"2019/10/2 上午 12:00:00"</f>
        <v>2019/10/2 上午 12:00:00</v>
      </c>
      <c r="F176" t="str">
        <f>"A1"</f>
        <v>A1</v>
      </c>
    </row>
    <row r="177" spans="1:6" ht="16.5">
      <c r="A177" t="str">
        <f>"AA007064126"</f>
        <v>AA007064126</v>
      </c>
      <c r="B177" t="str">
        <f>"宇根建設有限公司(14戶)住宅"</f>
        <v>宇根建設有限公司(14戶)住宅</v>
      </c>
      <c r="C177" t="str">
        <f>"(107)高市工建築字第00266~00279號"</f>
        <v>(107)高市工建築字第00266~00279號</v>
      </c>
      <c r="D177" t="str">
        <f>"108/10/09"</f>
        <v>108/10/09</v>
      </c>
      <c r="E177" t="str">
        <f>"2019/10/8 上午 12:00:00"</f>
        <v>2019/10/8 上午 12:00:00</v>
      </c>
      <c r="F177" t="str">
        <f>"A1"</f>
        <v>A1</v>
      </c>
    </row>
    <row r="178" spans="1:6" ht="16.5">
      <c r="A178" t="str">
        <f>"AA007064652"</f>
        <v>AA007064652</v>
      </c>
      <c r="B178" t="str">
        <f>"劉嘉興"</f>
        <v>劉嘉興</v>
      </c>
      <c r="C178" t="str">
        <f>"(107)南工造字第01157號"</f>
        <v>(107)南工造字第01157號</v>
      </c>
      <c r="D178" t="str">
        <f>"108/10/22"</f>
        <v>108/10/22</v>
      </c>
      <c r="E178" t="str">
        <f>"2019/10/22 上午 12:00:00"</f>
        <v>2019/10/22 上午 12:00:00</v>
      </c>
      <c r="F178" t="str">
        <f>"A1"</f>
        <v>A1</v>
      </c>
    </row>
    <row r="179" spans="1:6" ht="16.5">
      <c r="A179" t="str">
        <f>"AA007064769"</f>
        <v>AA007064769</v>
      </c>
      <c r="B179" t="str">
        <f>"蔡安登住宅新建工程"</f>
        <v>蔡安登住宅新建工程</v>
      </c>
      <c r="C179" t="str">
        <f>"(107)南工造字第01638號"</f>
        <v>(107)南工造字第01638號</v>
      </c>
      <c r="D179" t="str">
        <f>"108/10/03"</f>
        <v>108/10/03</v>
      </c>
      <c r="E179" t="str">
        <f>"2019/10/3 上午 12:00:00"</f>
        <v>2019/10/3 上午 12:00:00</v>
      </c>
      <c r="F179" t="str">
        <f>"A1"</f>
        <v>A1</v>
      </c>
    </row>
    <row r="180" spans="1:6" ht="16.5">
      <c r="A180" t="str">
        <f>"AA007065443"</f>
        <v>AA007065443</v>
      </c>
      <c r="B180" t="str">
        <f>"金瑞發建設有限公司等32戶住宅"</f>
        <v>金瑞發建設有限公司等32戶住宅</v>
      </c>
      <c r="C180" t="str">
        <f>"(107)南工造字第01342~01373號"</f>
        <v>(107)南工造字第01342~01373號</v>
      </c>
      <c r="D180" t="str">
        <f>"108/10/24"</f>
        <v>108/10/24</v>
      </c>
      <c r="E180" t="str">
        <f>"2019/10/17 上午 12:00:00"</f>
        <v>2019/10/17 上午 12:00:00</v>
      </c>
      <c r="F180" t="str">
        <f>"A1"</f>
        <v>A1</v>
      </c>
    </row>
    <row r="181" spans="1:6" ht="16.5">
      <c r="A181" t="str">
        <f>"AA007066755"</f>
        <v>AA007066755</v>
      </c>
      <c r="B181" t="str">
        <f>"C1c佑睿建設(股)公司住宅第一次變更設計工程"</f>
        <v>C1c佑睿建設(股)公司住宅第一次變更設計工程</v>
      </c>
      <c r="C181" t="str">
        <f>"106中都建字第2106號"</f>
        <v>106中都建字第2106號</v>
      </c>
      <c r="D181" t="str">
        <f>"108/10/29"</f>
        <v>108/10/29</v>
      </c>
      <c r="E181" t="str">
        <f>"2019/10/28 上午 12:00:00"</f>
        <v>2019/10/28 上午 12:00:00</v>
      </c>
      <c r="F181" t="s">
        <v>13</v>
      </c>
    </row>
    <row r="182" spans="1:6" ht="16.5">
      <c r="A182" t="str">
        <f>"AA007067209"</f>
        <v>AA007067209</v>
      </c>
      <c r="B182" t="str">
        <f>"安豐開發集合住宅新建工程"</f>
        <v>安豐開發集合住宅新建工程</v>
      </c>
      <c r="C182" t="str">
        <f>"(107)府建字第00155號"</f>
        <v>(107)府建字第00155號</v>
      </c>
      <c r="D182" t="str">
        <f>"108/10/01"</f>
        <v>108/10/01</v>
      </c>
      <c r="E182" t="str">
        <f>"2019/9/27 上午 12:00:00"</f>
        <v>2019/9/27 上午 12:00:00</v>
      </c>
      <c r="F182" t="s">
        <v>9</v>
      </c>
    </row>
    <row r="183" spans="1:6" ht="16.5">
      <c r="A183" t="str">
        <f>"AA007067292"</f>
        <v>AA007067292</v>
      </c>
      <c r="B183" t="str">
        <f>"威泰國際 觀音區工業區段二小段15-21地號集合住宅新建工程"</f>
        <v>威泰國際 觀音區工業區段二小段15-21地號集合住宅新建工程</v>
      </c>
      <c r="C183" t="str">
        <f>"(107)桃市都建執照字第會觀00453號"</f>
        <v>(107)桃市都建執照字第會觀00453號</v>
      </c>
      <c r="D183" t="str">
        <f>"108/10/04"</f>
        <v>108/10/04</v>
      </c>
      <c r="E183" t="str">
        <f>"2019/10/2 上午 12:00:00"</f>
        <v>2019/10/2 上午 12:00:00</v>
      </c>
      <c r="F183" t="s">
        <v>13</v>
      </c>
    </row>
    <row r="184" spans="1:6" ht="16.5">
      <c r="A184" t="str">
        <f>"AA007067360"</f>
        <v>AA007067360</v>
      </c>
      <c r="B184" t="str">
        <f>"康博租賃有限公司護理之家新建工程"</f>
        <v>康博租賃有限公司護理之家新建工程</v>
      </c>
      <c r="C184" t="str">
        <f>"(107)府工建字第00065號"</f>
        <v>(107)府工建字第00065號</v>
      </c>
      <c r="D184" t="str">
        <f>"108/10/21"</f>
        <v>108/10/21</v>
      </c>
      <c r="E184" t="str">
        <f>"2019/10/7 上午 12:00:00"</f>
        <v>2019/10/7 上午 12:00:00</v>
      </c>
      <c r="F184" t="s">
        <v>13</v>
      </c>
    </row>
    <row r="185" spans="1:6" ht="16.5">
      <c r="A185" t="str">
        <f>"AA007067370"</f>
        <v>AA007067370</v>
      </c>
      <c r="B185" t="str">
        <f>"昕群企業股份有限公司下竹圍段住宅新建工程"</f>
        <v>昕群企業股份有限公司下竹圍段住宅新建工程</v>
      </c>
      <c r="C185" t="str">
        <f>"(107)高市工建築字第00799~00800號"</f>
        <v>(107)高市工建築字第00799~00800號</v>
      </c>
      <c r="D185" t="str">
        <f>"108/10/30"</f>
        <v>108/10/30</v>
      </c>
      <c r="E185" t="str">
        <f>"2019/10/29 上午 12:00:00"</f>
        <v>2019/10/29 上午 12:00:00</v>
      </c>
      <c r="F185" t="str">
        <f>"A1"</f>
        <v>A1</v>
      </c>
    </row>
    <row r="186" spans="1:6" ht="16.5">
      <c r="A186" t="str">
        <f>"AA007067401"</f>
        <v>AA007067401</v>
      </c>
      <c r="B186" t="str">
        <f>"楊國銘 住宅新建工程"</f>
        <v>楊國銘 住宅新建工程</v>
      </c>
      <c r="C186" t="str">
        <f>"(107)府工建字第00088號"</f>
        <v>(107)府工建字第00088號</v>
      </c>
      <c r="D186" t="str">
        <f>"108/10/07"</f>
        <v>108/10/07</v>
      </c>
      <c r="E186" t="str">
        <f>"2019/10/7 上午 12:00:00"</f>
        <v>2019/10/7 上午 12:00:00</v>
      </c>
      <c r="F186" t="str">
        <f>"A1"</f>
        <v>A1</v>
      </c>
    </row>
    <row r="187" spans="1:6" ht="16.5">
      <c r="A187" t="str">
        <f>"AA007068485"</f>
        <v>AA007068485</v>
      </c>
      <c r="B187" t="str">
        <f>"星田建設-觀音區草豊段751地號住宅新建工程"</f>
        <v>星田建設-觀音區草豊段751地號住宅新建工程</v>
      </c>
      <c r="C187" t="str">
        <f>"(107)桃市都建執照字第會觀00304號"</f>
        <v>(107)桃市都建執照字第會觀00304號</v>
      </c>
      <c r="D187" t="str">
        <f>"108/10/09"</f>
        <v>108/10/09</v>
      </c>
      <c r="E187" t="str">
        <f>"2019/9/10 上午 12:00:00"</f>
        <v>2019/9/10 上午 12:00:00</v>
      </c>
      <c r="F187" t="s">
        <v>9</v>
      </c>
    </row>
    <row r="188" spans="1:6" ht="16.5">
      <c r="A188" t="str">
        <f>"AA007068683"</f>
        <v>AA007068683</v>
      </c>
      <c r="B188" t="str">
        <f>"黃慶鐘"</f>
        <v>黃慶鐘</v>
      </c>
      <c r="C188" t="str">
        <f>"(107)南工臨造字第00001號"</f>
        <v>(107)南工臨造字第00001號</v>
      </c>
      <c r="D188" t="str">
        <f>"108/10/22"</f>
        <v>108/10/22</v>
      </c>
      <c r="E188" t="str">
        <f>"2019/10/22 上午 12:00:00"</f>
        <v>2019/10/22 上午 12:00:00</v>
      </c>
      <c r="F188" t="str">
        <f>"A1"</f>
        <v>A1</v>
      </c>
    </row>
    <row r="189" spans="1:6" ht="16.5">
      <c r="A189" t="str">
        <f>"AA007068755"</f>
        <v>AA007068755</v>
      </c>
      <c r="B189" t="str">
        <f>"瀚光泰建設住宅水電新建工程(第一次變更設計)"</f>
        <v>瀚光泰建設住宅水電新建工程(第一次變更設計)</v>
      </c>
      <c r="C189" t="str">
        <f>"(106)屏府城管建(東)字第01117-01~01131-01號"</f>
        <v>(106)屏府城管建(東)字第01117-01~01131-01號</v>
      </c>
      <c r="D189" t="str">
        <f>"108/10/29"</f>
        <v>108/10/29</v>
      </c>
      <c r="E189" t="str">
        <f>"2019/10/25 上午 12:00:00"</f>
        <v>2019/10/25 上午 12:00:00</v>
      </c>
      <c r="F189" t="str">
        <f>"A1"</f>
        <v>A1</v>
      </c>
    </row>
    <row r="190" spans="1:6" ht="16.5">
      <c r="A190" t="str">
        <f>"AA007068910"</f>
        <v>AA007068910</v>
      </c>
      <c r="B190" t="str">
        <f>"A1-百面賺五 10戶住宅新建工程"</f>
        <v>A1-百面賺五 10戶住宅新建工程</v>
      </c>
      <c r="C190" t="str">
        <f>"A 107 嘉市府都建執字第0000164號~0000173號"</f>
        <v>A 107 嘉市府都建執字第0000164號~0000173號</v>
      </c>
      <c r="D190" t="str">
        <f>"108/10/02"</f>
        <v>108/10/02</v>
      </c>
      <c r="E190" t="str">
        <f>"2019/10/2 上午 12:00:00"</f>
        <v>2019/10/2 上午 12:00:00</v>
      </c>
      <c r="F190" t="str">
        <f>"A1"</f>
        <v>A1</v>
      </c>
    </row>
    <row r="191" spans="1:6" ht="16.5">
      <c r="A191" t="str">
        <f>"AA007068953"</f>
        <v>AA007068953</v>
      </c>
      <c r="B191" t="str">
        <f>"八德區瑞發市民活動中心新建工程"</f>
        <v>八德區瑞發市民活動中心新建工程</v>
      </c>
      <c r="C191" t="str">
        <f>"(107)桃市都建執照字第會德00452號"</f>
        <v>(107)桃市都建執照字第會德00452號</v>
      </c>
      <c r="D191" t="str">
        <f>"108/10/16"</f>
        <v>108/10/16</v>
      </c>
      <c r="E191" t="str">
        <f>"2019/10/8 上午 12:00:00"</f>
        <v>2019/10/8 上午 12:00:00</v>
      </c>
      <c r="F191" t="s">
        <v>13</v>
      </c>
    </row>
    <row r="192" spans="1:6" ht="16.5">
      <c r="A192" t="str">
        <f>"AA007069036"</f>
        <v>AA007069036</v>
      </c>
      <c r="B192" t="str">
        <f>"星田建設-觀音區草豊段758地號住宅新建工程"</f>
        <v>星田建設-觀音區草豊段758地號住宅新建工程</v>
      </c>
      <c r="C192" t="str">
        <f>"(107)桃市都建執照字第會觀00405號"</f>
        <v>(107)桃市都建執照字第會觀00405號</v>
      </c>
      <c r="D192" t="str">
        <f>"108/10/09"</f>
        <v>108/10/09</v>
      </c>
      <c r="E192" t="str">
        <f>"2019/9/10 上午 12:00:00"</f>
        <v>2019/9/10 上午 12:00:00</v>
      </c>
      <c r="F192" t="s">
        <v>9</v>
      </c>
    </row>
    <row r="193" spans="1:6" ht="16.5">
      <c r="A193" t="str">
        <f>"AA007069216"</f>
        <v>AA007069216</v>
      </c>
      <c r="B193" t="str">
        <f>"佘芸芝店舖住宅新建工程"</f>
        <v>佘芸芝店舖住宅新建工程</v>
      </c>
      <c r="C193" t="str">
        <f>"(107)南工造字第01835號"</f>
        <v>(107)南工造字第01835號</v>
      </c>
      <c r="D193" t="str">
        <f>"108/10/30"</f>
        <v>108/10/30</v>
      </c>
      <c r="E193" t="str">
        <f>"2019/10/30 上午 12:00:00"</f>
        <v>2019/10/30 上午 12:00:00</v>
      </c>
      <c r="F193" t="str">
        <f>"A1"</f>
        <v>A1</v>
      </c>
    </row>
    <row r="194" spans="1:6" ht="16.5">
      <c r="A194" t="str">
        <f>"AA007070144"</f>
        <v>AA007070144</v>
      </c>
      <c r="B194" t="str">
        <f>"黃于嘉住宅新建工程"</f>
        <v>黃于嘉住宅新建工程</v>
      </c>
      <c r="C194" t="str">
        <f>"(107)南工造字第01616號"</f>
        <v>(107)南工造字第01616號</v>
      </c>
      <c r="D194" t="str">
        <f>"108/10/16"</f>
        <v>108/10/16</v>
      </c>
      <c r="E194" t="str">
        <f>"2019/10/9 上午 12:00:00"</f>
        <v>2019/10/9 上午 12:00:00</v>
      </c>
      <c r="F194" t="str">
        <f>"A1"</f>
        <v>A1</v>
      </c>
    </row>
    <row r="195" spans="1:6" ht="16.5">
      <c r="A195" t="str">
        <f>"AA007070248"</f>
        <v>AA007070248</v>
      </c>
      <c r="B195" t="str">
        <f>"豐和邦建設有限公司  負責人:章白興  新建工程"</f>
        <v>豐和邦建設有限公司  負責人:章白興  新建工程</v>
      </c>
      <c r="C195" t="str">
        <f>"(106)桃市都建執照字第會園01219-01號"</f>
        <v>(106)桃市都建執照字第會園01219-01號</v>
      </c>
      <c r="D195" t="str">
        <f>"108/10/16"</f>
        <v>108/10/16</v>
      </c>
      <c r="E195" t="str">
        <f>"2019/10/1 上午 12:00:00"</f>
        <v>2019/10/1 上午 12:00:00</v>
      </c>
      <c r="F195" t="s">
        <v>13</v>
      </c>
    </row>
    <row r="196" spans="1:6" ht="16.5">
      <c r="A196" t="str">
        <f>"AA007070562"</f>
        <v>AA007070562</v>
      </c>
      <c r="B196" t="str">
        <f>"A1x6 昶阜建設有限公司6戶住宅新建工程"</f>
        <v>A1x6 昶阜建設有限公司6戶住宅新建工程</v>
      </c>
      <c r="C196" t="str">
        <f>"107中都建字第01023~01028號"</f>
        <v>107中都建字第01023~01028號</v>
      </c>
      <c r="D196" t="str">
        <f>"108/10/14"</f>
        <v>108/10/14</v>
      </c>
      <c r="E196" t="str">
        <f>"2019/10/9 上午 12:00:00"</f>
        <v>2019/10/9 上午 12:00:00</v>
      </c>
      <c r="F196" t="str">
        <f>"A1"</f>
        <v>A1</v>
      </c>
    </row>
    <row r="197" spans="1:6" ht="16.5">
      <c r="A197" t="str">
        <f>"AA007073054"</f>
        <v>AA007073054</v>
      </c>
      <c r="B197" t="str">
        <f>"陳昱嘉等5人住宅新建工程"</f>
        <v>陳昱嘉等5人住宅新建工程</v>
      </c>
      <c r="C197" t="str">
        <f>"(107)高市工建築字第00470-00474號"</f>
        <v>(107)高市工建築字第00470-00474號</v>
      </c>
      <c r="D197" t="str">
        <f>"108/10/16"</f>
        <v>108/10/16</v>
      </c>
      <c r="E197" t="str">
        <f>"2019/10/16 上午 12:00:00"</f>
        <v>2019/10/16 上午 12:00:00</v>
      </c>
      <c r="F197" t="str">
        <f>"A1"</f>
        <v>A1</v>
      </c>
    </row>
    <row r="198" spans="1:6" ht="16.5">
      <c r="A198" t="str">
        <f>"AA007073518"</f>
        <v>AA007073518</v>
      </c>
      <c r="B198" t="str">
        <f>"A1-國楨建設後庄段1戶住宅新建工程"</f>
        <v>A1-國楨建設後庄段1戶住宅新建工程</v>
      </c>
      <c r="C198" t="str">
        <f>"A107嘉市府都建執字第0000150號"</f>
        <v>A107嘉市府都建執字第0000150號</v>
      </c>
      <c r="D198" t="str">
        <f>"108/10/23"</f>
        <v>108/10/23</v>
      </c>
      <c r="E198" t="str">
        <f>"2019/10/23 上午 12:00:00"</f>
        <v>2019/10/23 上午 12:00:00</v>
      </c>
      <c r="F198" t="str">
        <f>"A1"</f>
        <v>A1</v>
      </c>
    </row>
    <row r="199" spans="1:6" ht="16.5">
      <c r="A199" t="str">
        <f>"AA007074007"</f>
        <v>AA007074007</v>
      </c>
      <c r="B199" t="str">
        <f>"張長壽等2人住宅新建工程"</f>
        <v>張長壽等2人住宅新建工程</v>
      </c>
      <c r="C199" t="str">
        <f>"(107)桃市都建執照字第會壢00317號"</f>
        <v>(107)桃市都建執照字第會壢00317號</v>
      </c>
      <c r="D199" t="str">
        <f>"108/10/02"</f>
        <v>108/10/02</v>
      </c>
      <c r="E199" t="str">
        <f>"2019/9/26 上午 12:00:00"</f>
        <v>2019/9/26 上午 12:00:00</v>
      </c>
      <c r="F199" t="s">
        <v>9</v>
      </c>
    </row>
    <row r="200" spans="1:6" ht="16.5">
      <c r="A200" t="str">
        <f>"AA007074679"</f>
        <v>AA007074679</v>
      </c>
      <c r="B200" t="str">
        <f>"A1-景勝開發建設股份有限公司A區14戶住宅新建工程"</f>
        <v>A1-景勝開發建設股份有限公司A區14戶住宅新建工程</v>
      </c>
      <c r="C200" t="str">
        <f>"107雲營建字第550~563號"</f>
        <v>107雲營建字第550~563號</v>
      </c>
      <c r="D200" t="str">
        <f>"108/10/29"</f>
        <v>108/10/29</v>
      </c>
      <c r="E200" t="str">
        <f>"2019/10/29 上午 12:00:00"</f>
        <v>2019/10/29 上午 12:00:00</v>
      </c>
      <c r="F200" t="str">
        <f>"A1"</f>
        <v>A1</v>
      </c>
    </row>
    <row r="201" spans="1:6" ht="16.5">
      <c r="A201" t="str">
        <f>"AA007074699"</f>
        <v>AA007074699</v>
      </c>
      <c r="B201" t="str">
        <f>"A1-景勝開發建設(股)公司B區斗南14戶住宅新建工程"</f>
        <v>A1-景勝開發建設(股)公司B區斗南14戶住宅新建工程</v>
      </c>
      <c r="C201" t="str">
        <f>"107雲營建字第590~603號"</f>
        <v>107雲營建字第590~603號</v>
      </c>
      <c r="D201" t="str">
        <f>"108/10/29"</f>
        <v>108/10/29</v>
      </c>
      <c r="E201" t="str">
        <f>"2019/10/29 上午 12:00:00"</f>
        <v>2019/10/29 上午 12:00:00</v>
      </c>
      <c r="F201" t="str">
        <f>"A1"</f>
        <v>A1</v>
      </c>
    </row>
    <row r="202" spans="1:6" ht="16.5">
      <c r="A202" t="str">
        <f>"AA007074742"</f>
        <v>AA007074742</v>
      </c>
      <c r="B202" t="str">
        <f>"A1 簡大明店舖.住宅新建工程"</f>
        <v>A1 簡大明店舖.住宅新建工程</v>
      </c>
      <c r="C202" t="str">
        <f>"107中都建字第00770號"</f>
        <v>107中都建字第00770號</v>
      </c>
      <c r="D202" t="str">
        <f>"108/10/23"</f>
        <v>108/10/23</v>
      </c>
      <c r="E202" t="str">
        <f>"2019/10/23 上午 12:00:00"</f>
        <v>2019/10/23 上午 12:00:00</v>
      </c>
      <c r="F202" t="str">
        <f>"A1"</f>
        <v>A1</v>
      </c>
    </row>
    <row r="203" spans="1:6" ht="16.5">
      <c r="A203" t="str">
        <f>"AA007075528"</f>
        <v>AA007075528</v>
      </c>
      <c r="B203" t="str">
        <f>"合康建設中壢區復興段1425地號等1筆集合住宅新建工程(C區)"</f>
        <v>合康建設中壢區復興段1425地號等1筆集合住宅新建工程(C區)</v>
      </c>
      <c r="C203" t="str">
        <f>"（104）桃市工建執照字第會壢00241-01號"</f>
        <v>（104）桃市工建執照字第會壢00241-01號</v>
      </c>
      <c r="D203" t="str">
        <f>"108/10/23"</f>
        <v>108/10/23</v>
      </c>
      <c r="E203" t="str">
        <f>"2019/10/15 上午 12:00:00"</f>
        <v>2019/10/15 上午 12:00:00</v>
      </c>
      <c r="F203" t="str">
        <f>"C1"</f>
        <v>C1</v>
      </c>
    </row>
    <row r="204" spans="1:6" ht="16.5">
      <c r="A204" t="str">
        <f>"AA007075810"</f>
        <v>AA007075810</v>
      </c>
      <c r="B204" t="str">
        <f>"賴良宗一般服務業新建工程林口區建林段435地號"</f>
        <v>賴良宗一般服務業新建工程林口區建林段435地號</v>
      </c>
      <c r="C204" t="str">
        <f>"107林建字第00203號"</f>
        <v>107林建字第00203號</v>
      </c>
      <c r="D204" t="str">
        <f>"108/10/29"</f>
        <v>108/10/29</v>
      </c>
      <c r="E204" t="str">
        <f>"2019/10/8 上午 12:00:00"</f>
        <v>2019/10/8 上午 12:00:00</v>
      </c>
      <c r="F204" t="s">
        <v>9</v>
      </c>
    </row>
    <row r="205" spans="1:6" ht="16.5">
      <c r="A205" t="str">
        <f>"AA007076216"</f>
        <v>AA007076216</v>
      </c>
      <c r="B205" t="str">
        <f>"A1-唐美月住宅新建工程"</f>
        <v>A1-唐美月住宅新建工程</v>
      </c>
      <c r="C205" t="str">
        <f>"107雲營建字第00549號"</f>
        <v>107雲營建字第00549號</v>
      </c>
      <c r="D205" t="str">
        <f>"108/10/29"</f>
        <v>108/10/29</v>
      </c>
      <c r="E205" t="str">
        <f>"2019/10/29 上午 12:00:00"</f>
        <v>2019/10/29 上午 12:00:00</v>
      </c>
      <c r="F205" t="str">
        <f>"A1"</f>
        <v>A1</v>
      </c>
    </row>
    <row r="206" spans="1:6" ht="16.5">
      <c r="A206" t="str">
        <f>"AA007077306"</f>
        <v>AA007077306</v>
      </c>
      <c r="B206" t="str">
        <f>"德旺建設企業有限公司 16戶廠房"</f>
        <v>德旺建設企業有限公司 16戶廠房</v>
      </c>
      <c r="C206" t="str">
        <f>"(107)高市工建築第00908~00922號"</f>
        <v>(107)高市工建築第00908~00922號</v>
      </c>
      <c r="D206" t="str">
        <f>"108/10/17"</f>
        <v>108/10/17</v>
      </c>
      <c r="E206" t="str">
        <f>"2019/10/9 上午 12:00:00"</f>
        <v>2019/10/9 上午 12:00:00</v>
      </c>
      <c r="F206" t="s">
        <v>20</v>
      </c>
    </row>
    <row r="207" spans="1:6" ht="16.5">
      <c r="A207" t="str">
        <f>"AA007078090"</f>
        <v>AA007078090</v>
      </c>
      <c r="B207" t="str">
        <f>"A1 創健建設股份有限公司住宅新建工程"</f>
        <v>A1 創健建設股份有限公司住宅新建工程</v>
      </c>
      <c r="C207" t="str">
        <f>"107中都建字第01130號"</f>
        <v>107中都建字第01130號</v>
      </c>
      <c r="D207" t="str">
        <f>"108/10/30"</f>
        <v>108/10/30</v>
      </c>
      <c r="E207" t="str">
        <f>"2019/10/28 上午 12:00:00"</f>
        <v>2019/10/28 上午 12:00:00</v>
      </c>
      <c r="F207" t="str">
        <f>"A1"</f>
        <v>A1</v>
      </c>
    </row>
    <row r="208" spans="1:6" ht="16.5">
      <c r="A208" t="str">
        <f>"AA007078190"</f>
        <v>AA007078190</v>
      </c>
      <c r="B208" t="str">
        <f>"威泰國際 觀音區工業區段二小段集合住宅新建工程"</f>
        <v>威泰國際 觀音區工業區段二小段集合住宅新建工程</v>
      </c>
      <c r="C208" t="str">
        <f>"(107)桃市都建執照字第會觀00359號"</f>
        <v>(107)桃市都建執照字第會觀00359號</v>
      </c>
      <c r="D208" t="str">
        <f>"108/10/04"</f>
        <v>108/10/04</v>
      </c>
      <c r="E208" t="str">
        <f>"2019/10/2 上午 12:00:00"</f>
        <v>2019/10/2 上午 12:00:00</v>
      </c>
      <c r="F208" t="s">
        <v>9</v>
      </c>
    </row>
    <row r="209" spans="1:6" ht="16.5">
      <c r="A209" t="str">
        <f>"AA007078216"</f>
        <v>AA007078216</v>
      </c>
      <c r="B209" t="str">
        <f>"威泰國際 觀音區工業區段二小段集合住宅新建工程"</f>
        <v>威泰國際 觀音區工業區段二小段集合住宅新建工程</v>
      </c>
      <c r="C209" t="str">
        <f>"(107)桃市都建執照字第會觀00360號"</f>
        <v>(107)桃市都建執照字第會觀00360號</v>
      </c>
      <c r="D209" t="str">
        <f>"108/10/04"</f>
        <v>108/10/04</v>
      </c>
      <c r="E209" t="str">
        <f>"2019/10/2 上午 12:00:00"</f>
        <v>2019/10/2 上午 12:00:00</v>
      </c>
      <c r="F209" t="s">
        <v>9</v>
      </c>
    </row>
    <row r="210" spans="1:6" ht="16.5">
      <c r="A210" t="str">
        <f>"AA007078258"</f>
        <v>AA007078258</v>
      </c>
      <c r="B210" t="str">
        <f>"光華國中和平樓新建工程"</f>
        <v>光華國中和平樓新建工程</v>
      </c>
      <c r="C210" t="str">
        <f>"(107)高市工建築字第00871號"</f>
        <v>(107)高市工建築字第00871號</v>
      </c>
      <c r="D210" t="str">
        <f>"108/10/08"</f>
        <v>108/10/08</v>
      </c>
      <c r="E210" t="str">
        <f>"2019/10/6 上午 12:00:00"</f>
        <v>2019/10/6 上午 12:00:00</v>
      </c>
      <c r="F210" t="s">
        <v>13</v>
      </c>
    </row>
    <row r="211" spans="1:6" ht="16.5">
      <c r="A211" t="str">
        <f>"AA007078353"</f>
        <v>AA007078353</v>
      </c>
      <c r="B211" t="str">
        <f>"威泰國際 觀音區工業區段二小段15-23地號集合住宅新建工程"</f>
        <v>威泰國際 觀音區工業區段二小段15-23地號集合住宅新建工程</v>
      </c>
      <c r="C211" t="str">
        <f>"(107)桃市都建執照字第會觀00425號"</f>
        <v>(107)桃市都建執照字第會觀00425號</v>
      </c>
      <c r="D211" t="str">
        <f>"108/10/04"</f>
        <v>108/10/04</v>
      </c>
      <c r="E211" t="str">
        <f>"2019/10/2 上午 12:00:00"</f>
        <v>2019/10/2 上午 12:00:00</v>
      </c>
      <c r="F211" t="s">
        <v>9</v>
      </c>
    </row>
    <row r="212" spans="1:6" ht="16.5">
      <c r="A212" t="str">
        <f>"AA007078382"</f>
        <v>AA007078382</v>
      </c>
      <c r="B212" t="str">
        <f>"C1富聚開發有限公司住宅新建工程"</f>
        <v>C1富聚開發有限公司住宅新建工程</v>
      </c>
      <c r="C212" t="str">
        <f>"107中都建字第895號"</f>
        <v>107中都建字第895號</v>
      </c>
      <c r="D212" t="str">
        <f>"108/10/15"</f>
        <v>108/10/15</v>
      </c>
      <c r="E212" t="str">
        <f>"2019/10/15 上午 12:00:00"</f>
        <v>2019/10/15 上午 12:00:00</v>
      </c>
      <c r="F212" t="s">
        <v>13</v>
      </c>
    </row>
    <row r="213" spans="1:6" ht="16.5">
      <c r="A213" t="str">
        <f>"AA007078589"</f>
        <v>AA007078589</v>
      </c>
      <c r="B213" t="str">
        <f>"頌真建設股份有限公司 屏東長治段住宅新建工程 第一次變更設計"</f>
        <v>頌真建設股份有限公司 屏東長治段住宅新建工程 第一次變更設計</v>
      </c>
      <c r="C213" t="str">
        <f>"(104)屏府城管建(長)字第01216-01~01222-01號"</f>
        <v>(104)屏府城管建(長)字第01216-01~01222-01號</v>
      </c>
      <c r="D213" t="str">
        <f>"108/10/15"</f>
        <v>108/10/15</v>
      </c>
      <c r="E213" t="str">
        <f>"2019/10/8 上午 12:00:00"</f>
        <v>2019/10/8 上午 12:00:00</v>
      </c>
      <c r="F213" t="str">
        <f>"A1"</f>
        <v>A1</v>
      </c>
    </row>
    <row r="214" spans="1:6" ht="16.5">
      <c r="A214" t="str">
        <f>"AA007078975"</f>
        <v>AA007078975</v>
      </c>
      <c r="B214" t="str">
        <f>"億讚實業有限公司-住宅新建工程"</f>
        <v>億讚實業有限公司-住宅新建工程</v>
      </c>
      <c r="C214" t="str">
        <f>"(107)桃市都建執照字第會壢00363號"</f>
        <v>(107)桃市都建執照字第會壢00363號</v>
      </c>
      <c r="D214" t="str">
        <f>"108/10/02"</f>
        <v>108/10/02</v>
      </c>
      <c r="E214" t="str">
        <f>"2019/9/26 上午 12:00:00"</f>
        <v>2019/9/26 上午 12:00:00</v>
      </c>
      <c r="F214" t="s">
        <v>9</v>
      </c>
    </row>
    <row r="215" spans="1:6" ht="16.5">
      <c r="A215" t="str">
        <f>"AA007080126"</f>
        <v>AA007080126</v>
      </c>
      <c r="B215" t="str">
        <f>"A1-生鼎建設有限公司許勝助二戶住宅新建工程"</f>
        <v>A1-生鼎建設有限公司許勝助二戶住宅新建工程</v>
      </c>
      <c r="C215" t="str">
        <f>"107雲營建字611.612號"</f>
        <v>107雲營建字611.612號</v>
      </c>
      <c r="D215" t="str">
        <f>"108/10/29"</f>
        <v>108/10/29</v>
      </c>
      <c r="E215" t="str">
        <f>"2019/10/29 上午 12:00:00"</f>
        <v>2019/10/29 上午 12:00:00</v>
      </c>
      <c r="F215" t="str">
        <f>"A1"</f>
        <v>A1</v>
      </c>
    </row>
    <row r="216" spans="1:6" ht="16.5">
      <c r="A216" t="str">
        <f>"AA007080221"</f>
        <v>AA007080221</v>
      </c>
      <c r="B216" t="str">
        <f>"銓盛建設桃園市觀音區草新段住宅新建工程"</f>
        <v>銓盛建設桃園市觀音區草新段住宅新建工程</v>
      </c>
      <c r="C216" t="str">
        <f>"(107)桃市都建執照字第會觀00518號"</f>
        <v>(107)桃市都建執照字第會觀00518號</v>
      </c>
      <c r="D216" t="str">
        <f>"108/10/21"</f>
        <v>108/10/21</v>
      </c>
      <c r="E216" t="str">
        <f>"2019/10/21 上午 12:00:00"</f>
        <v>2019/10/21 上午 12:00:00</v>
      </c>
      <c r="F216" t="str">
        <f>"A1"</f>
        <v>A1</v>
      </c>
    </row>
    <row r="217" spans="1:6" ht="16.5">
      <c r="A217" t="str">
        <f>"AA007080699"</f>
        <v>AA007080699</v>
      </c>
      <c r="B217" t="str">
        <f>"B1 游錦綢工廠新建工程"</f>
        <v>B1 游錦綢工廠新建工程</v>
      </c>
      <c r="C217" t="str">
        <f>"106中都建字第02637號"</f>
        <v>106中都建字第02637號</v>
      </c>
      <c r="D217" t="str">
        <f>"108/10/22"</f>
        <v>108/10/22</v>
      </c>
      <c r="E217" t="str">
        <f>"2019/10/17 上午 12:00:00"</f>
        <v>2019/10/17 上午 12:00:00</v>
      </c>
      <c r="F217" t="str">
        <f>"B1"</f>
        <v>B1</v>
      </c>
    </row>
    <row r="218" spans="1:6" ht="16.5">
      <c r="A218" t="str">
        <f>"AA007081234"</f>
        <v>AA007081234</v>
      </c>
      <c r="B218" t="str">
        <f>"瑞賢實業股份有限公司廠房新建工程"</f>
        <v>瑞賢實業股份有限公司廠房新建工程</v>
      </c>
      <c r="C218" t="str">
        <f>"(107)南工造字第01298號"</f>
        <v>(107)南工造字第01298號</v>
      </c>
      <c r="D218" t="str">
        <f>"108/10/25"</f>
        <v>108/10/25</v>
      </c>
      <c r="E218" t="str">
        <f>"2019/10/24 上午 12:00:00"</f>
        <v>2019/10/24 上午 12:00:00</v>
      </c>
      <c r="F218" t="str">
        <f>"B1"</f>
        <v>B1</v>
      </c>
    </row>
    <row r="219" spans="1:6" ht="16.5">
      <c r="A219" t="str">
        <f>"AA007081608"</f>
        <v>AA007081608</v>
      </c>
      <c r="B219" t="str">
        <f>"南君建設有限公司 董事長 郭心玲(4Fx4戶)住宅"</f>
        <v>南君建設有限公司 董事長 郭心玲(4Fx4戶)住宅</v>
      </c>
      <c r="C219" t="str">
        <f>"(107)南工造字第01965~01968號"</f>
        <v>(107)南工造字第01965~01968號</v>
      </c>
      <c r="D219" t="str">
        <f>"108/10/19"</f>
        <v>108/10/19</v>
      </c>
      <c r="E219" t="str">
        <f>"2019/10/18 上午 12:00:00"</f>
        <v>2019/10/18 上午 12:00:00</v>
      </c>
      <c r="F219" t="str">
        <f>"A1"</f>
        <v>A1</v>
      </c>
    </row>
    <row r="220" spans="1:6" ht="16.5">
      <c r="A220" t="str">
        <f>"AA007081969"</f>
        <v>AA007081969</v>
      </c>
      <c r="B220" t="str">
        <f>"袁祥嘉住宅新建工程"</f>
        <v>袁祥嘉住宅新建工程</v>
      </c>
      <c r="C220" t="str">
        <f>"(107)南工造字第02045 號"</f>
        <v>(107)南工造字第02045 號</v>
      </c>
      <c r="D220" t="str">
        <f>"108/10/02"</f>
        <v>108/10/02</v>
      </c>
      <c r="E220" t="str">
        <f>"2019/10/2 上午 12:00:00"</f>
        <v>2019/10/2 上午 12:00:00</v>
      </c>
      <c r="F220" t="str">
        <f>"A1"</f>
        <v>A1</v>
      </c>
    </row>
    <row r="221" spans="1:6" ht="16.5">
      <c r="A221" t="str">
        <f>"AA007082054"</f>
        <v>AA007082054</v>
      </c>
      <c r="B221" t="str">
        <f>"詹炳瑩住宅新建工程"</f>
        <v>詹炳瑩住宅新建工程</v>
      </c>
      <c r="C221" t="str">
        <f>"(107)府建造字第06440號"</f>
        <v>(107)府建造字第06440號</v>
      </c>
      <c r="D221" t="str">
        <f>"108/10/23"</f>
        <v>108/10/23</v>
      </c>
      <c r="E221" t="str">
        <f>"2019/10/9 上午 12:00:00"</f>
        <v>2019/10/9 上午 12:00:00</v>
      </c>
      <c r="F221" t="str">
        <f>"A1"</f>
        <v>A1</v>
      </c>
    </row>
    <row r="222" spans="1:6" ht="16.5">
      <c r="A222" t="str">
        <f>"AA007083173"</f>
        <v>AA007083173</v>
      </c>
      <c r="B222" t="str">
        <f>"上立建設集合住宅新建工程"</f>
        <v>上立建設集合住宅新建工程</v>
      </c>
      <c r="C222" t="str">
        <f>"(107)府都建字第00127號"</f>
        <v>(107)府都建字第00127號</v>
      </c>
      <c r="D222" t="str">
        <f>"108/10/21"</f>
        <v>108/10/21</v>
      </c>
      <c r="E222" t="str">
        <f>"2019/10/9 上午 12:00:00"</f>
        <v>2019/10/9 上午 12:00:00</v>
      </c>
      <c r="F222" t="s">
        <v>7</v>
      </c>
    </row>
    <row r="223" spans="1:6" ht="16.5">
      <c r="A223" t="str">
        <f>"AA007083832"</f>
        <v>AA007083832</v>
      </c>
      <c r="B223" t="str">
        <f>"A1x2 張雪津店舖.住宅新建工程"</f>
        <v>A1x2 張雪津店舖.住宅新建工程</v>
      </c>
      <c r="C223" t="str">
        <f>"107中都建字第01158~01159號"</f>
        <v>107中都建字第01158~01159號</v>
      </c>
      <c r="D223" t="str">
        <f>"108/10/15"</f>
        <v>108/10/15</v>
      </c>
      <c r="E223" t="str">
        <f>"2019/10/15 上午 12:00:00"</f>
        <v>2019/10/15 上午 12:00:00</v>
      </c>
      <c r="F223" t="str">
        <f>"A1"</f>
        <v>A1</v>
      </c>
    </row>
    <row r="224" spans="1:6" ht="16.5">
      <c r="A224" t="str">
        <f>"AA007084608"</f>
        <v>AA007084608</v>
      </c>
      <c r="B224" t="str">
        <f>"賀鐿企業有限公司-店鋪住宅新建工程"</f>
        <v>賀鐿企業有限公司-店鋪住宅新建工程</v>
      </c>
      <c r="C224" t="str">
        <f>"(107)(雲)營建字第00406號"</f>
        <v>(107)(雲)營建字第00406號</v>
      </c>
      <c r="D224" t="str">
        <f>"108/10/04"</f>
        <v>108/10/04</v>
      </c>
      <c r="E224" t="str">
        <f>"2019/9/26 上午 12:00:00"</f>
        <v>2019/9/26 上午 12:00:00</v>
      </c>
      <c r="F224" t="str">
        <f>"A1"</f>
        <v>A1</v>
      </c>
    </row>
    <row r="225" spans="1:6" ht="16.5">
      <c r="A225" t="str">
        <f>"AA007084630"</f>
        <v>AA007084630</v>
      </c>
      <c r="B225" t="str">
        <f>"C1-正宜建設有限公司住宅新建工程"</f>
        <v>C1-正宜建設有限公司住宅新建工程</v>
      </c>
      <c r="C225" t="str">
        <f>"(107)(雲)營建字第675號"</f>
        <v>(107)(雲)營建字第675號</v>
      </c>
      <c r="D225" t="str">
        <f>"108/10/21"</f>
        <v>108/10/21</v>
      </c>
      <c r="E225" t="str">
        <f>"2019/10/17 上午 12:00:00"</f>
        <v>2019/10/17 上午 12:00:00</v>
      </c>
      <c r="F225" t="str">
        <f>"C1"</f>
        <v>C1</v>
      </c>
    </row>
    <row r="226" spans="1:6" ht="16.5">
      <c r="A226" t="str">
        <f>"AA007085131"</f>
        <v>AA007085131</v>
      </c>
      <c r="B226" t="str">
        <f>"A1x2 御展建設有限公司住宅新建工程"</f>
        <v>A1x2 御展建設有限公司住宅新建工程</v>
      </c>
      <c r="C226" t="str">
        <f>"107中都建字第01181-01182號"</f>
        <v>107中都建字第01181-01182號</v>
      </c>
      <c r="D226" t="str">
        <f>"108/10/30"</f>
        <v>108/10/30</v>
      </c>
      <c r="E226" t="str">
        <f>"2019/10/30 上午 12:00:00"</f>
        <v>2019/10/30 上午 12:00:00</v>
      </c>
      <c r="F226" t="str">
        <f>"A1"</f>
        <v>A1</v>
      </c>
    </row>
    <row r="227" spans="1:6" ht="16.5">
      <c r="A227" t="str">
        <f>"AA007086640"</f>
        <v>AA007086640</v>
      </c>
      <c r="B227" t="str">
        <f>"正茂建設(5Fx8戶)集合住宅"</f>
        <v>正茂建設(5Fx8戶)集合住宅</v>
      </c>
      <c r="C227" t="str">
        <f>"(107)南工造字第01377號"</f>
        <v>(107)南工造字第01377號</v>
      </c>
      <c r="D227" t="str">
        <f>"108/10/25"</f>
        <v>108/10/25</v>
      </c>
      <c r="E227" t="str">
        <f>"2019/10/17 上午 12:00:00"</f>
        <v>2019/10/17 上午 12:00:00</v>
      </c>
      <c r="F227" t="s">
        <v>9</v>
      </c>
    </row>
    <row r="228" spans="1:6" ht="16.5">
      <c r="A228" t="str">
        <f>"AA007087013"</f>
        <v>AA007087013</v>
      </c>
      <c r="B228" t="str">
        <f>"A1-黃博商住宅新建工程"</f>
        <v>A1-黃博商住宅新建工程</v>
      </c>
      <c r="C228" t="str">
        <f>"(107)虎鎮營建字第35號"</f>
        <v>(107)虎鎮營建字第35號</v>
      </c>
      <c r="D228" t="str">
        <f>"108/10/09"</f>
        <v>108/10/09</v>
      </c>
      <c r="E228" t="str">
        <f>"2019/10/7 上午 12:00:00"</f>
        <v>2019/10/7 上午 12:00:00</v>
      </c>
      <c r="F228" t="str">
        <f>"A1"</f>
        <v>A1</v>
      </c>
    </row>
    <row r="229" spans="1:6" ht="16.5">
      <c r="A229" t="str">
        <f>"AA007087665"</f>
        <v>AA007087665</v>
      </c>
      <c r="B229" t="str">
        <f>"多那之國際股份有限公司高雄總部暨廠房大樓新建工程 (第一次變更設計)"</f>
        <v>多那之國際股份有限公司高雄總部暨廠房大樓新建工程 (第一次變更設計)</v>
      </c>
      <c r="C229" t="str">
        <f>"(107)高市工建築字第00124號"</f>
        <v>(107)高市工建築字第00124號</v>
      </c>
      <c r="D229" t="str">
        <f>"108/10/23"</f>
        <v>108/10/23</v>
      </c>
      <c r="E229" t="str">
        <f>"2019/10/17 上午 12:00:00"</f>
        <v>2019/10/17 上午 12:00:00</v>
      </c>
      <c r="F229" t="str">
        <f>"C1"</f>
        <v>C1</v>
      </c>
    </row>
    <row r="230" spans="1:6" ht="16.5">
      <c r="A230" t="str">
        <f>"AA007088863"</f>
        <v>AA007088863</v>
      </c>
      <c r="B230" t="str">
        <f>"A1x3聯眾建設股份有限公司住宅新建工程                 "</f>
        <v>A1x3聯眾建設股份有限公司住宅新建工程                 </v>
      </c>
      <c r="C230" t="str">
        <f>"(107)投府建管(造)字第00231~00233號                     "</f>
        <v>(107)投府建管(造)字第00231~00233號                     </v>
      </c>
      <c r="D230" t="str">
        <f>"108/10/28"</f>
        <v>108/10/28</v>
      </c>
      <c r="E230" t="str">
        <f>"2019/10/25 上午 12:00:00"</f>
        <v>2019/10/25 上午 12:00:00</v>
      </c>
      <c r="F230" t="str">
        <f aca="true" t="shared" si="1" ref="F230:F237">"A1"</f>
        <v>A1</v>
      </c>
    </row>
    <row r="231" spans="1:6" ht="16.5">
      <c r="A231" t="str">
        <f>"AA007089885"</f>
        <v>AA007089885</v>
      </c>
      <c r="B231" t="str">
        <f>"全璟建設股份有限公司等8戶住宅新建工程"</f>
        <v>全璟建設股份有限公司等8戶住宅新建工程</v>
      </c>
      <c r="C231" t="str">
        <f>"(107)高市工建築字第 01102~01109 號"</f>
        <v>(107)高市工建築字第 01102~01109 號</v>
      </c>
      <c r="D231" t="str">
        <f>"108/10/09"</f>
        <v>108/10/09</v>
      </c>
      <c r="E231" t="str">
        <f>"2019/10/8 上午 12:00:00"</f>
        <v>2019/10/8 上午 12:00:00</v>
      </c>
      <c r="F231" t="str">
        <f t="shared" si="1"/>
        <v>A1</v>
      </c>
    </row>
    <row r="232" spans="1:6" ht="16.5">
      <c r="A232" t="str">
        <f>"AA007090730"</f>
        <v>AA007090730</v>
      </c>
      <c r="B232" t="str">
        <f>"五結鄉孝威段住宅案-C區"</f>
        <v>五結鄉孝威段住宅案-C區</v>
      </c>
      <c r="C232" t="str">
        <f>"(107)(5)(8)建管建字第00251號~(107)(5)(8)建管建字第00260號"</f>
        <v>(107)(5)(8)建管建字第00251號~(107)(5)(8)建管建字第00260號</v>
      </c>
      <c r="D232" t="str">
        <f>"108/10/01"</f>
        <v>108/10/01</v>
      </c>
      <c r="E232" t="str">
        <f>"2019/9/12 上午 12:00:00"</f>
        <v>2019/9/12 上午 12:00:00</v>
      </c>
      <c r="F232" t="str">
        <f t="shared" si="1"/>
        <v>A1</v>
      </c>
    </row>
    <row r="233" spans="1:6" ht="16.5">
      <c r="A233" t="str">
        <f>"AA007090863"</f>
        <v>AA007090863</v>
      </c>
      <c r="B233" t="str">
        <f>"A1x3 徐嘉銘等三人住宅新建工程"</f>
        <v>A1x3 徐嘉銘等三人住宅新建工程</v>
      </c>
      <c r="C233" t="str">
        <f>"107中都建字第01137~01139號"</f>
        <v>107中都建字第01137~01139號</v>
      </c>
      <c r="D233" t="str">
        <f>"108/10/08"</f>
        <v>108/10/08</v>
      </c>
      <c r="E233" t="str">
        <f>"2019/10/8 上午 12:00:00"</f>
        <v>2019/10/8 上午 12:00:00</v>
      </c>
      <c r="F233" t="str">
        <f t="shared" si="1"/>
        <v>A1</v>
      </c>
    </row>
    <row r="234" spans="1:6" ht="16.5">
      <c r="A234" t="str">
        <f>"AA007090879"</f>
        <v>AA007090879</v>
      </c>
      <c r="B234" t="str">
        <f>"五結鄉孝威段住宅案-D區"</f>
        <v>五結鄉孝威段住宅案-D區</v>
      </c>
      <c r="C234" t="str">
        <f>" (107)(5)(8)建管建字第00261號~(107)(5)(8)建管建字第00270號"</f>
        <v> (107)(5)(8)建管建字第00261號~(107)(5)(8)建管建字第00270號</v>
      </c>
      <c r="D234" t="str">
        <f>"108/10/01"</f>
        <v>108/10/01</v>
      </c>
      <c r="E234" t="str">
        <f>"2019/9/12 上午 12:00:00"</f>
        <v>2019/9/12 上午 12:00:00</v>
      </c>
      <c r="F234" t="str">
        <f t="shared" si="1"/>
        <v>A1</v>
      </c>
    </row>
    <row r="235" spans="1:6" ht="16.5">
      <c r="A235" t="str">
        <f>"AA007091013"</f>
        <v>AA007091013</v>
      </c>
      <c r="B235" t="str">
        <f>"五結鄉孝威段住宅案-E區"</f>
        <v>五結鄉孝威段住宅案-E區</v>
      </c>
      <c r="C235" t="str">
        <f>"(107)(5)(8)建管建字第00271號~(107)(5)(8)建管建字第00280號"</f>
        <v>(107)(5)(8)建管建字第00271號~(107)(5)(8)建管建字第00280號</v>
      </c>
      <c r="D235" t="str">
        <f>"108/10/01"</f>
        <v>108/10/01</v>
      </c>
      <c r="E235" t="str">
        <f>"2019/9/12 上午 12:00:00"</f>
        <v>2019/9/12 上午 12:00:00</v>
      </c>
      <c r="F235" t="str">
        <f t="shared" si="1"/>
        <v>A1</v>
      </c>
    </row>
    <row r="236" spans="1:6" ht="16.5">
      <c r="A236" t="str">
        <f>"AA007091158"</f>
        <v>AA007091158</v>
      </c>
      <c r="B236" t="str">
        <f>"王志祥  (2F×1戶)住宅工程"</f>
        <v>王志祥  (2F×1戶)住宅工程</v>
      </c>
      <c r="C236" t="str">
        <f>"(107)南工造字第02051號"</f>
        <v>(107)南工造字第02051號</v>
      </c>
      <c r="D236" t="str">
        <f>"108/10/05"</f>
        <v>108/10/05</v>
      </c>
      <c r="E236" t="str">
        <f>"2019/10/5 上午 12:00:00"</f>
        <v>2019/10/5 上午 12:00:00</v>
      </c>
      <c r="F236" t="str">
        <f t="shared" si="1"/>
        <v>A1</v>
      </c>
    </row>
    <row r="237" spans="1:6" ht="16.5">
      <c r="A237" t="str">
        <f>"AA007091216"</f>
        <v>AA007091216</v>
      </c>
      <c r="B237" t="str">
        <f>"吉盛建設有限公司/吳文勝 住宅新建工程"</f>
        <v>吉盛建設有限公司/吳文勝 住宅新建工程</v>
      </c>
      <c r="C237" t="str">
        <f>"(107)高市工建築字第 01205~01207 號"</f>
        <v>(107)高市工建築字第 01205~01207 號</v>
      </c>
      <c r="D237" t="str">
        <f>"108/10/30"</f>
        <v>108/10/30</v>
      </c>
      <c r="E237" t="str">
        <f>"2019/10/30 上午 12:00:00"</f>
        <v>2019/10/30 上午 12:00:00</v>
      </c>
      <c r="F237" t="str">
        <f t="shared" si="1"/>
        <v>A1</v>
      </c>
    </row>
    <row r="238" spans="1:6" ht="16.5">
      <c r="A238" t="str">
        <f>"AA007091499"</f>
        <v>AA007091499</v>
      </c>
      <c r="B238" t="str">
        <f>"C1、C2、C3璽多開發慶豐段集合住宅新建工程(26戶)"</f>
        <v>C1、C2、C3璽多開發慶豐段集合住宅新建工程(26戶)</v>
      </c>
      <c r="C238" t="str">
        <f>"花建執照字第106A0189-01號"</f>
        <v>花建執照字第106A0189-01號</v>
      </c>
      <c r="D238" t="str">
        <f>"108/10/05"</f>
        <v>108/10/05</v>
      </c>
      <c r="E238" t="str">
        <f>"2019/10/3 上午 12:00:00"</f>
        <v>2019/10/3 上午 12:00:00</v>
      </c>
      <c r="F238" t="s">
        <v>13</v>
      </c>
    </row>
    <row r="239" spans="1:6" ht="16.5">
      <c r="A239" t="str">
        <f>"AA007091640"</f>
        <v>AA007091640</v>
      </c>
      <c r="B239" t="str">
        <f>"展莉美有限公司廠房新建工程"</f>
        <v>展莉美有限公司廠房新建工程</v>
      </c>
      <c r="C239" t="str">
        <f>"(107)南工造字第02180號"</f>
        <v>(107)南工造字第02180號</v>
      </c>
      <c r="D239" t="str">
        <f>"108/10/29"</f>
        <v>108/10/29</v>
      </c>
      <c r="E239" t="str">
        <f>"2019/10/29 上午 12:00:00"</f>
        <v>2019/10/29 上午 12:00:00</v>
      </c>
      <c r="F239" t="str">
        <f>"C1"</f>
        <v>C1</v>
      </c>
    </row>
    <row r="240" spans="1:6" ht="16.5">
      <c r="A240" t="str">
        <f>"AA007091795"</f>
        <v>AA007091795</v>
      </c>
      <c r="B240" t="str">
        <f>"A1-(廖怡如)帝築建設有限公司 太平段住宅新建工程"</f>
        <v>A1-(廖怡如)帝築建設有限公司 太平段住宅新建工程</v>
      </c>
      <c r="C240" t="str">
        <f>"A(107)嘉市府都建執字 第0000271-0000273號"</f>
        <v>A(107)嘉市府都建執字 第0000271-0000273號</v>
      </c>
      <c r="D240" t="str">
        <f>"108/10/30"</f>
        <v>108/10/30</v>
      </c>
      <c r="E240" t="str">
        <f>"2019/10/30 上午 12:00:00"</f>
        <v>2019/10/30 上午 12:00:00</v>
      </c>
      <c r="F240" t="str">
        <f>"A1"</f>
        <v>A1</v>
      </c>
    </row>
    <row r="241" spans="1:6" ht="16.5">
      <c r="A241" t="str">
        <f>"AA007092370"</f>
        <v>AA007092370</v>
      </c>
      <c r="B241" t="str">
        <f>"A1楊碧純店鋪.住宅新建工程"</f>
        <v>A1楊碧純店鋪.住宅新建工程</v>
      </c>
      <c r="C241" t="str">
        <f>"(107)府建管(建)字第0172069號"</f>
        <v>(107)府建管(建)字第0172069號</v>
      </c>
      <c r="D241" t="str">
        <f>"108/10/22"</f>
        <v>108/10/22</v>
      </c>
      <c r="E241" t="str">
        <f>"2019/10/22 上午 12:00:00"</f>
        <v>2019/10/22 上午 12:00:00</v>
      </c>
      <c r="F241" t="str">
        <f>"A1"</f>
        <v>A1</v>
      </c>
    </row>
    <row r="242" spans="1:6" ht="16.5">
      <c r="A242" t="str">
        <f>"AA007092773"</f>
        <v>AA007092773</v>
      </c>
      <c r="B242" t="str">
        <f>"凱傳工業股份有限公司 台南市仁德區林仔段廠房新建工程"</f>
        <v>凱傳工業股份有限公司 台南市仁德區林仔段廠房新建工程</v>
      </c>
      <c r="C242" t="str">
        <f>"(107)南工造字第02303號"</f>
        <v>(107)南工造字第02303號</v>
      </c>
      <c r="D242" t="str">
        <f>"108/10/16"</f>
        <v>108/10/16</v>
      </c>
      <c r="E242" t="str">
        <f>"2019/10/9 上午 12:00:00"</f>
        <v>2019/10/9 上午 12:00:00</v>
      </c>
      <c r="F242" t="s">
        <v>13</v>
      </c>
    </row>
    <row r="243" spans="1:6" ht="16.5">
      <c r="A243" t="str">
        <f>"AA007093832"</f>
        <v>AA007093832</v>
      </c>
      <c r="B243" t="str">
        <f>"廠房、辦公室及宿舍新建工程"</f>
        <v>廠房、辦公室及宿舍新建工程</v>
      </c>
      <c r="C243" t="str">
        <f>"(107)栗商建銅建字第00013號"</f>
        <v>(107)栗商建銅建字第00013號</v>
      </c>
      <c r="D243" t="str">
        <f>"108/10/30"</f>
        <v>108/10/30</v>
      </c>
      <c r="E243" t="str">
        <f>"2019/10/29 上午 12:00:00"</f>
        <v>2019/10/29 上午 12:00:00</v>
      </c>
      <c r="F243" t="s">
        <v>13</v>
      </c>
    </row>
    <row r="244" spans="1:6" ht="16.5">
      <c r="A244" t="str">
        <f>"AA007094054"</f>
        <v>AA007094054</v>
      </c>
      <c r="B244" t="str">
        <f>"永信建設開發股份有限公司集合住宅新建工程(PS)"</f>
        <v>永信建設開發股份有限公司集合住宅新建工程(PS)</v>
      </c>
      <c r="C244" t="str">
        <f>"(107)高市工建築字第01278號"</f>
        <v>(107)高市工建築字第01278號</v>
      </c>
      <c r="D244" t="str">
        <f>"108/10/01"</f>
        <v>108/10/01</v>
      </c>
      <c r="E244" t="str">
        <f>"2019/9/29 上午 12:00:00"</f>
        <v>2019/9/29 上午 12:00:00</v>
      </c>
      <c r="F244" t="s">
        <v>13</v>
      </c>
    </row>
    <row r="245" spans="1:6" ht="16.5">
      <c r="A245" t="str">
        <f>"AA007094292"</f>
        <v>AA007094292</v>
      </c>
      <c r="B245" t="str">
        <f>"B1x2 鈞舜實業有限公司等二戶倉儲新建工程"</f>
        <v>B1x2 鈞舜實業有限公司等二戶倉儲新建工程</v>
      </c>
      <c r="C245" t="s">
        <v>21</v>
      </c>
      <c r="D245" t="str">
        <f>"108/10/22"</f>
        <v>108/10/22</v>
      </c>
      <c r="E245" t="str">
        <f>"2019/10/21 上午 12:00:00"</f>
        <v>2019/10/21 上午 12:00:00</v>
      </c>
      <c r="F245" t="str">
        <f>"B1"</f>
        <v>B1</v>
      </c>
    </row>
    <row r="246" spans="1:6" ht="16.5">
      <c r="A246" t="str">
        <f>"AA007095144"</f>
        <v>AA007095144</v>
      </c>
      <c r="B246" t="str">
        <f>"A1-C1-(李俊翰)君聚建設開發有限公司等24戶住宅新建工程"</f>
        <v>A1-C1-(李俊翰)君聚建設開發有限公司等24戶住宅新建工程</v>
      </c>
      <c r="C246" t="str">
        <f>"(107)(雲)營建字第00721~00733號"</f>
        <v>(107)(雲)營建字第00721~00733號</v>
      </c>
      <c r="D246" t="str">
        <f>"108/10/23"</f>
        <v>108/10/23</v>
      </c>
      <c r="E246" t="str">
        <f>"2019/10/23 上午 12:00:00"</f>
        <v>2019/10/23 上午 12:00:00</v>
      </c>
      <c r="F246" t="s">
        <v>22</v>
      </c>
    </row>
    <row r="247" spans="1:6" ht="16.5">
      <c r="A247" t="str">
        <f>"AA007095180"</f>
        <v>AA007095180</v>
      </c>
      <c r="B247" t="str">
        <f>"吳政翰4FX1戶住宅新建工程"</f>
        <v>吳政翰4FX1戶住宅新建工程</v>
      </c>
      <c r="C247" t="str">
        <f>"(107)南工造字第02431 號"</f>
        <v>(107)南工造字第02431 號</v>
      </c>
      <c r="D247" t="str">
        <f>"108/10/03"</f>
        <v>108/10/03</v>
      </c>
      <c r="E247" t="str">
        <f>"2019/10/3 上午 12:00:00"</f>
        <v>2019/10/3 上午 12:00:00</v>
      </c>
      <c r="F247" t="str">
        <f>"A1"</f>
        <v>A1</v>
      </c>
    </row>
    <row r="248" spans="1:6" ht="16.5">
      <c r="A248" t="str">
        <f>"AA007095981"</f>
        <v>AA007095981</v>
      </c>
      <c r="B248" t="str">
        <f>"京杭建設(4Fx13戶)住宅"</f>
        <v>京杭建設(4Fx13戶)住宅</v>
      </c>
      <c r="C248" t="str">
        <f>"(107)南工造字第02113~02115號"</f>
        <v>(107)南工造字第02113~02115號</v>
      </c>
      <c r="D248" t="str">
        <f>"108/10/16"</f>
        <v>108/10/16</v>
      </c>
      <c r="E248" t="str">
        <f>"2019/10/9 上午 12:00:00"</f>
        <v>2019/10/9 上午 12:00:00</v>
      </c>
      <c r="F248" t="s">
        <v>23</v>
      </c>
    </row>
    <row r="249" spans="1:6" ht="16.5">
      <c r="A249" t="str">
        <f>"AA007096068"</f>
        <v>AA007096068</v>
      </c>
      <c r="B249" t="str">
        <f>"鑫宥建設股份有限公司【負責人：謝坪河】(5Fx32戶)集合住宅"</f>
        <v>鑫宥建設股份有限公司【負責人：謝坪河】(5Fx32戶)集合住宅</v>
      </c>
      <c r="C249" t="str">
        <f>"(107)南工造字第02259號"</f>
        <v>(107)南工造字第02259號</v>
      </c>
      <c r="D249" t="str">
        <f>"108/10/15"</f>
        <v>108/10/15</v>
      </c>
      <c r="E249" t="str">
        <f>"2019/10/15 上午 12:00:00"</f>
        <v>2019/10/15 上午 12:00:00</v>
      </c>
      <c r="F249" t="s">
        <v>13</v>
      </c>
    </row>
    <row r="250" spans="1:6" ht="16.5">
      <c r="A250" t="str">
        <f>"AA007096810"</f>
        <v>AA007096810</v>
      </c>
      <c r="B250" t="str">
        <f>"蔡居錩虎尾鎮住宅新建工程"</f>
        <v>蔡居錩虎尾鎮住宅新建工程</v>
      </c>
      <c r="C250" t="str">
        <f>"(107)虎鎮營建字第00042號"</f>
        <v>(107)虎鎮營建字第00042號</v>
      </c>
      <c r="D250" t="str">
        <f>"108/10/19"</f>
        <v>108/10/19</v>
      </c>
      <c r="E250" t="str">
        <f>"2019/10/18 上午 12:00:00"</f>
        <v>2019/10/18 上午 12:00:00</v>
      </c>
      <c r="F250" t="str">
        <f>"A1"</f>
        <v>A1</v>
      </c>
    </row>
    <row r="251" spans="1:6" ht="16.5">
      <c r="A251" t="str">
        <f>"AA007097078"</f>
        <v>AA007097078</v>
      </c>
      <c r="B251" t="str">
        <f>"朱美珍2FX1戶住宅新建工程"</f>
        <v>朱美珍2FX1戶住宅新建工程</v>
      </c>
      <c r="C251" t="str">
        <f>"(107）南工造字第02509 號"</f>
        <v>(107）南工造字第02509 號</v>
      </c>
      <c r="D251" t="str">
        <f>"108/10/02"</f>
        <v>108/10/02</v>
      </c>
      <c r="E251" t="str">
        <f>"2019/10/2 上午 12:00:00"</f>
        <v>2019/10/2 上午 12:00:00</v>
      </c>
      <c r="F251" t="str">
        <f>"A1"</f>
        <v>A1</v>
      </c>
    </row>
    <row r="252" spans="1:6" ht="16.5">
      <c r="A252" t="str">
        <f>"AA007097144"</f>
        <v>AA007097144</v>
      </c>
      <c r="B252" t="str">
        <f>"邱信翔住宅新建工程"</f>
        <v>邱信翔住宅新建工程</v>
      </c>
      <c r="C252" t="str">
        <f>"(107)(土)營建字第21號"</f>
        <v>(107)(土)營建字第21號</v>
      </c>
      <c r="D252" t="str">
        <f>"108/10/05"</f>
        <v>108/10/05</v>
      </c>
      <c r="E252" t="str">
        <f>"2019/10/4 上午 12:00:00"</f>
        <v>2019/10/4 上午 12:00:00</v>
      </c>
      <c r="F252" t="str">
        <f>"A1"</f>
        <v>A1</v>
      </c>
    </row>
    <row r="253" spans="1:6" ht="16.5">
      <c r="A253" t="str">
        <f>"AA007097699"</f>
        <v>AA007097699</v>
      </c>
      <c r="B253" t="str">
        <f>"威泰國際 桃園區東國段382-3地號集合住宅新建工程"</f>
        <v>威泰國際 桃園區東國段382-3地號集合住宅新建工程</v>
      </c>
      <c r="C253" t="str">
        <f>"(107)桃市都建執照字第會桃00287號"</f>
        <v>(107)桃市都建執照字第會桃00287號</v>
      </c>
      <c r="D253" t="str">
        <f>"108/10/09"</f>
        <v>108/10/09</v>
      </c>
      <c r="E253" t="str">
        <f>"2019/9/16 上午 12:00:00"</f>
        <v>2019/9/16 上午 12:00:00</v>
      </c>
      <c r="F253" t="s">
        <v>9</v>
      </c>
    </row>
    <row r="254" spans="1:6" ht="16.5">
      <c r="A254" t="str">
        <f>"AA007097969"</f>
        <v>AA007097969</v>
      </c>
      <c r="B254" t="str">
        <f>"點城營造有限公司-住宅新建工程"</f>
        <v>點城營造有限公司-住宅新建工程</v>
      </c>
      <c r="C254" t="str">
        <f>"(107)(雲)營建字第753~756號"</f>
        <v>(107)(雲)營建字第753~756號</v>
      </c>
      <c r="D254" t="str">
        <f>"108/10/15"</f>
        <v>108/10/15</v>
      </c>
      <c r="E254" t="str">
        <f>"2019/10/15 上午 12:00:00"</f>
        <v>2019/10/15 上午 12:00:00</v>
      </c>
      <c r="F254" t="str">
        <f>"A1"</f>
        <v>A1</v>
      </c>
    </row>
    <row r="255" spans="1:6" ht="16.5">
      <c r="A255" t="str">
        <f>"AA007099036"</f>
        <v>AA007099036</v>
      </c>
      <c r="B255" t="str">
        <f>"A1-蘇秀華住宅新建工程"</f>
        <v>A1-蘇秀華住宅新建工程</v>
      </c>
      <c r="C255" t="str">
        <f>"(107)嘉梅鄉建字第00025號"</f>
        <v>(107)嘉梅鄉建字第00025號</v>
      </c>
      <c r="D255" t="str">
        <f>"108/10/21"</f>
        <v>108/10/21</v>
      </c>
      <c r="E255" t="str">
        <f>"2019/10/17 上午 12:00:00"</f>
        <v>2019/10/17 上午 12:00:00</v>
      </c>
      <c r="F255" t="str">
        <f>"A1"</f>
        <v>A1</v>
      </c>
    </row>
    <row r="256" spans="1:6" ht="16.5">
      <c r="A256" t="str">
        <f>"AA007099348"</f>
        <v>AA007099348</v>
      </c>
      <c r="B256" t="str">
        <f>"A1 胡玉琴住宅新建工程"</f>
        <v>A1 胡玉琴住宅新建工程</v>
      </c>
      <c r="C256" t="str">
        <f>"107中都建字第01358號"</f>
        <v>107中都建字第01358號</v>
      </c>
      <c r="D256" t="str">
        <f>"108/10/29"</f>
        <v>108/10/29</v>
      </c>
      <c r="E256" t="str">
        <f>"2019/10/28 上午 12:00:00"</f>
        <v>2019/10/28 上午 12:00:00</v>
      </c>
      <c r="F256" t="str">
        <f>"A1"</f>
        <v>A1</v>
      </c>
    </row>
    <row r="257" spans="1:6" ht="16.5">
      <c r="A257" t="str">
        <f>"AA007099414"</f>
        <v>AA007099414</v>
      </c>
      <c r="B257" t="str">
        <f>"A1-陳美玲二戶廠房住宅新建工程"</f>
        <v>A1-陳美玲二戶廠房住宅新建工程</v>
      </c>
      <c r="C257" t="str">
        <f>"107雲營莿建字第27.28號"</f>
        <v>107雲營莿建字第27.28號</v>
      </c>
      <c r="D257" t="str">
        <f>"108/10/17"</f>
        <v>108/10/17</v>
      </c>
      <c r="E257" t="str">
        <f>"2019/10/17 上午 12:00:00"</f>
        <v>2019/10/17 上午 12:00:00</v>
      </c>
      <c r="F257" t="str">
        <f>"A1"</f>
        <v>A1</v>
      </c>
    </row>
    <row r="258" spans="1:6" ht="16.5">
      <c r="A258" t="str">
        <f>"AA007099540"</f>
        <v>AA007099540</v>
      </c>
      <c r="B258" t="str">
        <f>"陳建宇、陳麗妃(5Fx1戶)住宅"</f>
        <v>陳建宇、陳麗妃(5Fx1戶)住宅</v>
      </c>
      <c r="C258" t="str">
        <f>"(107)南工造字第02465 號"</f>
        <v>(107)南工造字第02465 號</v>
      </c>
      <c r="D258" t="str">
        <f>"108/10/07"</f>
        <v>108/10/07</v>
      </c>
      <c r="E258" t="str">
        <f>"2019/10/7 上午 12:00:00"</f>
        <v>2019/10/7 上午 12:00:00</v>
      </c>
      <c r="F258" t="str">
        <f>"A1"</f>
        <v>A1</v>
      </c>
    </row>
    <row r="259" spans="1:6" ht="16.5">
      <c r="A259" t="str">
        <f>"AA007100280"</f>
        <v>AA007100280</v>
      </c>
      <c r="B259" t="str">
        <f>"國鎰建設股份有限公司新建工程"</f>
        <v>國鎰建設股份有限公司新建工程</v>
      </c>
      <c r="C259" t="str">
        <f>"(107)桃市都建執照字第會楊00588、00597、00598號"</f>
        <v>(107)桃市都建執照字第會楊00588、00597、00598號</v>
      </c>
      <c r="D259" t="str">
        <f>"108/10/31"</f>
        <v>108/10/31</v>
      </c>
      <c r="E259" t="str">
        <f>"2019/10/18 上午 12:00:00"</f>
        <v>2019/10/18 上午 12:00:00</v>
      </c>
      <c r="F259" t="str">
        <f>"C1"</f>
        <v>C1</v>
      </c>
    </row>
    <row r="260" spans="1:6" ht="16.5">
      <c r="A260" t="str">
        <f>"AA007100683"</f>
        <v>AA007100683</v>
      </c>
      <c r="B260" t="str">
        <f>"A1江承諭等二人店舖.住宅新建工程"</f>
        <v>A1江承諭等二人店舖.住宅新建工程</v>
      </c>
      <c r="C260" t="str">
        <f>"107中都建字第1327號"</f>
        <v>107中都建字第1327號</v>
      </c>
      <c r="D260" t="str">
        <f>"108/10/04"</f>
        <v>108/10/04</v>
      </c>
      <c r="E260" t="str">
        <f>"2019/10/4 上午 12:00:00"</f>
        <v>2019/10/4 上午 12:00:00</v>
      </c>
      <c r="F260" t="str">
        <f>"A1"</f>
        <v>A1</v>
      </c>
    </row>
    <row r="261" spans="1:6" ht="16.5">
      <c r="A261" t="str">
        <f>"AA007101311"</f>
        <v>AA007101311</v>
      </c>
      <c r="B261" t="str">
        <f>"A1-陳建誠店鋪住宅新建工程"</f>
        <v>A1-陳建誠店鋪住宅新建工程</v>
      </c>
      <c r="C261" t="str">
        <f>"107雲營建字第00789號"</f>
        <v>107雲營建字第00789號</v>
      </c>
      <c r="D261" t="str">
        <f>"108/10/02"</f>
        <v>108/10/02</v>
      </c>
      <c r="E261" t="str">
        <f>"2019/10/2 上午 12:00:00"</f>
        <v>2019/10/2 上午 12:00:00</v>
      </c>
      <c r="F261" t="str">
        <f>"A1"</f>
        <v>A1</v>
      </c>
    </row>
    <row r="262" spans="1:6" ht="16.5">
      <c r="A262" t="str">
        <f>"AA007102216"</f>
        <v>AA007102216</v>
      </c>
      <c r="B262" t="str">
        <f>"謝鳳玲4樓住宅工程"</f>
        <v>謝鳳玲4樓住宅工程</v>
      </c>
      <c r="C262" t="str">
        <f>"107 林建字第00256號"</f>
        <v>107 林建字第00256號</v>
      </c>
      <c r="D262" t="str">
        <f>"108/10/01"</f>
        <v>108/10/01</v>
      </c>
      <c r="E262" t="str">
        <f>"2019/8/29 上午 12:00:00"</f>
        <v>2019/8/29 上午 12:00:00</v>
      </c>
      <c r="F262" t="s">
        <v>7</v>
      </c>
    </row>
    <row r="263" spans="1:6" ht="16.5">
      <c r="A263" t="str">
        <f>"AA007102338"</f>
        <v>AA007102338</v>
      </c>
      <c r="B263" t="str">
        <f>"A1x12宸家建設股份有限公司12戶住宅新建工程"</f>
        <v>A1x12宸家建設股份有限公司12戶住宅新建工程</v>
      </c>
      <c r="C263" t="str">
        <f>"107中都建字第01187~01198號"</f>
        <v>107中都建字第01187~01198號</v>
      </c>
      <c r="D263" t="str">
        <f>"108/10/21"</f>
        <v>108/10/21</v>
      </c>
      <c r="E263" t="str">
        <f>"2019/10/21 上午 12:00:00"</f>
        <v>2019/10/21 上午 12:00:00</v>
      </c>
      <c r="F263" t="str">
        <f aca="true" t="shared" si="2" ref="F263:F270">"A1"</f>
        <v>A1</v>
      </c>
    </row>
    <row r="264" spans="1:6" ht="16.5">
      <c r="A264" t="str">
        <f>"AA007102832"</f>
        <v>AA007102832</v>
      </c>
      <c r="B264" t="str">
        <f>"黃義舜1FX1戶住宅新建工程"</f>
        <v>黃義舜1FX1戶住宅新建工程</v>
      </c>
      <c r="C264" t="str">
        <f>"(107)南工造字第02702號"</f>
        <v>(107)南工造字第02702號</v>
      </c>
      <c r="D264" t="str">
        <f>"108/10/02"</f>
        <v>108/10/02</v>
      </c>
      <c r="E264" t="str">
        <f>"2019/10/2 上午 12:00:00"</f>
        <v>2019/10/2 上午 12:00:00</v>
      </c>
      <c r="F264" t="str">
        <f t="shared" si="2"/>
        <v>A1</v>
      </c>
    </row>
    <row r="265" spans="1:6" ht="16.5">
      <c r="A265" t="str">
        <f>"AA007103131"</f>
        <v>AA007103131</v>
      </c>
      <c r="B265" t="str">
        <f>"A1-葉和平(5Fx1戶)住宅"</f>
        <v>A1-葉和平(5Fx1戶)住宅</v>
      </c>
      <c r="C265" t="str">
        <f>"(107)嘉大鎮建字第00025號"</f>
        <v>(107)嘉大鎮建字第00025號</v>
      </c>
      <c r="D265" t="str">
        <f>"108/10/01"</f>
        <v>108/10/01</v>
      </c>
      <c r="E265" t="str">
        <f>"2019/10/1 上午 12:00:00"</f>
        <v>2019/10/1 上午 12:00:00</v>
      </c>
      <c r="F265" t="str">
        <f t="shared" si="2"/>
        <v>A1</v>
      </c>
    </row>
    <row r="266" spans="1:6" ht="16.5">
      <c r="A266" t="str">
        <f>"AA007103216"</f>
        <v>AA007103216</v>
      </c>
      <c r="B266" t="str">
        <f>"富凰建設股份有限公司 負責人:趙榮波(4Fx17戶)住宅(A1-A18)"</f>
        <v>富凰建設股份有限公司 負責人:趙榮波(4Fx17戶)住宅(A1-A18)</v>
      </c>
      <c r="C266" t="str">
        <f>"(107)南工造字第 02360~02376號"</f>
        <v>(107)南工造字第 02360~02376號</v>
      </c>
      <c r="D266" t="str">
        <f>"108/10/17"</f>
        <v>108/10/17</v>
      </c>
      <c r="E266" t="str">
        <f>"2019/10/17 上午 12:00:00"</f>
        <v>2019/10/17 上午 12:00:00</v>
      </c>
      <c r="F266" t="str">
        <f t="shared" si="2"/>
        <v>A1</v>
      </c>
    </row>
    <row r="267" spans="1:6" ht="16.5">
      <c r="A267" t="str">
        <f>"AA007103338"</f>
        <v>AA007103338</v>
      </c>
      <c r="B267" t="str">
        <f>"富凰建設(4Fx18戶)住宅"</f>
        <v>富凰建設(4Fx18戶)住宅</v>
      </c>
      <c r="C267" t="str">
        <f>"(107)南工造字第02377~02394號"</f>
        <v>(107)南工造字第02377~02394號</v>
      </c>
      <c r="D267" t="str">
        <f>"108/10/17"</f>
        <v>108/10/17</v>
      </c>
      <c r="E267" t="str">
        <f>"2019/10/17 上午 12:00:00"</f>
        <v>2019/10/17 上午 12:00:00</v>
      </c>
      <c r="F267" t="str">
        <f t="shared" si="2"/>
        <v>A1</v>
      </c>
    </row>
    <row r="268" spans="1:6" ht="16.5">
      <c r="A268" t="str">
        <f>"AA007103593"</f>
        <v>AA007103593</v>
      </c>
      <c r="B268" t="str">
        <f>"富凰建設(4Fx18戶)住宅"</f>
        <v>富凰建設(4Fx18戶)住宅</v>
      </c>
      <c r="C268" t="str">
        <f>"(107)南工造字第02395~02412號"</f>
        <v>(107)南工造字第02395~02412號</v>
      </c>
      <c r="D268" t="str">
        <f>"108/10/14"</f>
        <v>108/10/14</v>
      </c>
      <c r="E268" t="str">
        <f>"2019/10/14 上午 12:00:00"</f>
        <v>2019/10/14 上午 12:00:00</v>
      </c>
      <c r="F268" t="str">
        <f t="shared" si="2"/>
        <v>A1</v>
      </c>
    </row>
    <row r="269" spans="1:6" ht="16.5">
      <c r="A269" t="str">
        <f>"AA007103623"</f>
        <v>AA007103623</v>
      </c>
      <c r="B269" t="str">
        <f>"富凰建設(4Fx18戶)住宅 B21~B40"</f>
        <v>富凰建設(4Fx18戶)住宅 B21~B40</v>
      </c>
      <c r="C269" t="str">
        <f>"(107)南工造字第02413~02430號"</f>
        <v>(107)南工造字第02413~02430號</v>
      </c>
      <c r="D269" t="str">
        <f>"108/10/14"</f>
        <v>108/10/14</v>
      </c>
      <c r="E269" t="str">
        <f>"2019/10/14 上午 12:00:00"</f>
        <v>2019/10/14 上午 12:00:00</v>
      </c>
      <c r="F269" t="str">
        <f t="shared" si="2"/>
        <v>A1</v>
      </c>
    </row>
    <row r="270" spans="1:6" ht="16.5">
      <c r="A270" t="str">
        <f>"AA007104414"</f>
        <v>AA007104414</v>
      </c>
      <c r="B270" t="str">
        <f>"鼎然建設有限公司-住宅新建工程"</f>
        <v>鼎然建設有限公司-住宅新建工程</v>
      </c>
      <c r="C270" t="str">
        <f>"(107)(雲)營建字第00716~00719號"</f>
        <v>(107)(雲)營建字第00716~00719號</v>
      </c>
      <c r="D270" t="str">
        <f>"108/10/15"</f>
        <v>108/10/15</v>
      </c>
      <c r="E270" t="str">
        <f>"2019/10/15 上午 12:00:00"</f>
        <v>2019/10/15 上午 12:00:00</v>
      </c>
      <c r="F270" t="str">
        <f t="shared" si="2"/>
        <v>A1</v>
      </c>
    </row>
    <row r="271" spans="1:6" ht="16.5">
      <c r="A271" t="str">
        <f>"AA007104859"</f>
        <v>AA007104859</v>
      </c>
      <c r="B271" t="str">
        <f>"延晟建設有限公司學甲區六戶集合住宅新建工程"</f>
        <v>延晟建設有限公司學甲區六戶集合住宅新建工程</v>
      </c>
      <c r="C271" t="str">
        <f>"(107)南工造字第02721號"</f>
        <v>(107)南工造字第02721號</v>
      </c>
      <c r="D271" t="str">
        <f>"108/10/27"</f>
        <v>108/10/27</v>
      </c>
      <c r="E271" t="str">
        <f>"2019/10/22 上午 12:00:00"</f>
        <v>2019/10/22 上午 12:00:00</v>
      </c>
      <c r="F271" t="s">
        <v>9</v>
      </c>
    </row>
    <row r="272" spans="1:6" ht="16.5">
      <c r="A272" t="str">
        <f>"AA007104891"</f>
        <v>AA007104891</v>
      </c>
      <c r="B272" t="str">
        <f>"祥發開發建設有限公司 店鋪、住宅新建工程"</f>
        <v>祥發開發建設有限公司 店鋪、住宅新建工程</v>
      </c>
      <c r="C272" t="str">
        <f>"(107)南工造字02653~02656號"</f>
        <v>(107)南工造字02653~02656號</v>
      </c>
      <c r="D272" t="str">
        <f>"108/10/03"</f>
        <v>108/10/03</v>
      </c>
      <c r="E272" t="str">
        <f>"2019/10/3 上午 12:00:00"</f>
        <v>2019/10/3 上午 12:00:00</v>
      </c>
      <c r="F272" t="str">
        <f>"A1"</f>
        <v>A1</v>
      </c>
    </row>
    <row r="273" spans="1:6" ht="16.5">
      <c r="A273" t="str">
        <f>"AA007105078"</f>
        <v>AA007105078</v>
      </c>
      <c r="B273" t="str">
        <f>"劉曜菖(4Fx1戶)住宅"</f>
        <v>劉曜菖(4Fx1戶)住宅</v>
      </c>
      <c r="C273" t="str">
        <f>"(107)南工造字第02471號"</f>
        <v>(107)南工造字第02471號</v>
      </c>
      <c r="D273" t="str">
        <f>"108/10/17"</f>
        <v>108/10/17</v>
      </c>
      <c r="E273" t="str">
        <f>"2019/10/17 上午 12:00:00"</f>
        <v>2019/10/17 上午 12:00:00</v>
      </c>
      <c r="F273" t="str">
        <f>"A1"</f>
        <v>A1</v>
      </c>
    </row>
    <row r="274" spans="1:6" ht="16.5">
      <c r="A274" t="str">
        <f>"AA007106090"</f>
        <v>AA007106090</v>
      </c>
      <c r="B274" t="str">
        <f>"勝湧精密企業有限公司廠房新建工程"</f>
        <v>勝湧精密企業有限公司廠房新建工程</v>
      </c>
      <c r="C274" t="str">
        <f>"(107)高市工建築字第01483號"</f>
        <v>(107)高市工建築字第01483號</v>
      </c>
      <c r="D274" t="str">
        <f>"108/10/07"</f>
        <v>108/10/07</v>
      </c>
      <c r="E274" t="str">
        <f>"2019/10/6 上午 12:00:00"</f>
        <v>2019/10/6 上午 12:00:00</v>
      </c>
      <c r="F274" t="str">
        <f>"C1"</f>
        <v>C1</v>
      </c>
    </row>
    <row r="275" spans="1:6" ht="16.5">
      <c r="A275" t="str">
        <f>"AA007106395"</f>
        <v>AA007106395</v>
      </c>
      <c r="B275" t="str">
        <f>"林旺建設開發有限公司負責人:林峰旭 兩戶店鋪住宅 住宅新建工程"</f>
        <v>林旺建設開發有限公司負責人:林峰旭 兩戶店鋪住宅 住宅新建工程</v>
      </c>
      <c r="C275" t="str">
        <f>"(107) 南工造字第02288~02289號"</f>
        <v>(107) 南工造字第02288~02289號</v>
      </c>
      <c r="D275" t="str">
        <f>"108/10/24"</f>
        <v>108/10/24</v>
      </c>
      <c r="E275" t="str">
        <f>"2019/10/24 上午 12:00:00"</f>
        <v>2019/10/24 上午 12:00:00</v>
      </c>
      <c r="F275" t="str">
        <f>"A1"</f>
        <v>A1</v>
      </c>
    </row>
    <row r="276" spans="1:6" ht="16.5">
      <c r="A276" t="str">
        <f>"AA007106652"</f>
        <v>AA007106652</v>
      </c>
      <c r="B276" t="str">
        <f>"本耀開發(4Fx3戶)住宅"</f>
        <v>本耀開發(4Fx3戶)住宅</v>
      </c>
      <c r="C276" t="str">
        <f>"(107)南工造字第02673~02675號"</f>
        <v>(107)南工造字第02673~02675號</v>
      </c>
      <c r="D276" t="str">
        <f>"108/10/14"</f>
        <v>108/10/14</v>
      </c>
      <c r="E276" t="str">
        <f>"2019/10/14 上午 12:00:00"</f>
        <v>2019/10/14 上午 12:00:00</v>
      </c>
      <c r="F276" t="str">
        <f>"A1"</f>
        <v>A1</v>
      </c>
    </row>
    <row r="277" spans="1:6" ht="16.5">
      <c r="A277" t="str">
        <f>"AA007107158"</f>
        <v>AA007107158</v>
      </c>
      <c r="B277" t="str">
        <f>"C1連堃實業中清路餐飲場所.辦公室新建工程"</f>
        <v>C1連堃實業中清路餐飲場所.辦公室新建工程</v>
      </c>
      <c r="C277" t="str">
        <f>"107中都建字第1040號"</f>
        <v>107中都建字第1040號</v>
      </c>
      <c r="D277" t="str">
        <f>"108/10/16"</f>
        <v>108/10/16</v>
      </c>
      <c r="E277" t="str">
        <f>"2019/10/15 上午 12:00:00"</f>
        <v>2019/10/15 上午 12:00:00</v>
      </c>
      <c r="F277" t="s">
        <v>13</v>
      </c>
    </row>
    <row r="278" spans="1:6" ht="16.5">
      <c r="A278" t="str">
        <f>"AA007107730"</f>
        <v>AA007107730</v>
      </c>
      <c r="B278" t="str">
        <f>"A1-謝權仁店鋪住宅新建工程"</f>
        <v>A1-謝權仁店鋪住宅新建工程</v>
      </c>
      <c r="C278" t="str">
        <f>"107雲營建字第758號"</f>
        <v>107雲營建字第758號</v>
      </c>
      <c r="D278" t="str">
        <f>"108/10/28"</f>
        <v>108/10/28</v>
      </c>
      <c r="E278" t="str">
        <f>"2019/10/28 上午 12:00:00"</f>
        <v>2019/10/28 上午 12:00:00</v>
      </c>
      <c r="F278" t="str">
        <f>"A1"</f>
        <v>A1</v>
      </c>
    </row>
    <row r="279" spans="1:6" ht="16.5">
      <c r="A279" t="str">
        <f>"AA007108068"</f>
        <v>AA007108068</v>
      </c>
      <c r="B279" t="str">
        <f>"A1-嘉義市湖子內段興安小段店鋪住宅新建工程"</f>
        <v>A1-嘉義市湖子內段興安小段店鋪住宅新建工程</v>
      </c>
      <c r="C279" t="str">
        <f>"107嘉市府都建執字第302-305號"</f>
        <v>107嘉市府都建執字第302-305號</v>
      </c>
      <c r="D279" t="str">
        <f>"108/10/28"</f>
        <v>108/10/28</v>
      </c>
      <c r="E279" t="str">
        <f>"2019/10/28 上午 12:00:00"</f>
        <v>2019/10/28 上午 12:00:00</v>
      </c>
      <c r="F279" t="str">
        <f>"A1"</f>
        <v>A1</v>
      </c>
    </row>
    <row r="280" spans="1:6" ht="16.5">
      <c r="A280" t="str">
        <f>"AA007108618"</f>
        <v>AA007108618</v>
      </c>
      <c r="B280" t="str">
        <f>"台南市東區光明段504地號一戶住宅新建工程"</f>
        <v>台南市東區光明段504地號一戶住宅新建工程</v>
      </c>
      <c r="C280" t="str">
        <f>"(107)南工造字第00388號"</f>
        <v>(107)南工造字第00388號</v>
      </c>
      <c r="D280" t="str">
        <f>"108/10/03"</f>
        <v>108/10/03</v>
      </c>
      <c r="E280" t="str">
        <f>"2019/10/3 上午 12:00:00"</f>
        <v>2019/10/3 上午 12:00:00</v>
      </c>
      <c r="F280" t="str">
        <f>"A1"</f>
        <v>A1</v>
      </c>
    </row>
    <row r="281" spans="1:6" ht="16.5">
      <c r="A281" t="str">
        <f>"AA007108789"</f>
        <v>AA007108789</v>
      </c>
      <c r="B281" t="str">
        <f>"台南市竹篙厝段飲食、辦公室 、集合住宅新建工程"</f>
        <v>台南市竹篙厝段飲食、辦公室 、集合住宅新建工程</v>
      </c>
      <c r="C281" t="str">
        <f>"(107)南工造字第02692號"</f>
        <v>(107)南工造字第02692號</v>
      </c>
      <c r="D281" t="str">
        <f>"108/10/19"</f>
        <v>108/10/19</v>
      </c>
      <c r="E281" t="str">
        <f>"2019/10/18 上午 12:00:00"</f>
        <v>2019/10/18 上午 12:00:00</v>
      </c>
      <c r="F281" t="s">
        <v>9</v>
      </c>
    </row>
    <row r="282" spans="1:6" ht="16.5">
      <c r="A282" t="str">
        <f>"AA007108891"</f>
        <v>AA007108891</v>
      </c>
      <c r="B282" t="s">
        <v>24</v>
      </c>
      <c r="C282" t="str">
        <f>"107八建字第00270號"</f>
        <v>107八建字第00270號</v>
      </c>
      <c r="D282" t="str">
        <f>"108/10/23"</f>
        <v>108/10/23</v>
      </c>
      <c r="E282" t="str">
        <f>"2019/10/23 上午 12:00:00"</f>
        <v>2019/10/23 上午 12:00:00</v>
      </c>
      <c r="F282" t="s">
        <v>9</v>
      </c>
    </row>
    <row r="283" spans="1:6" ht="16.5">
      <c r="A283" t="str">
        <f>"AA007110795"</f>
        <v>AA007110795</v>
      </c>
      <c r="B283" t="str">
        <f>"陳文淵 陳文欽住宅"</f>
        <v>陳文淵 陳文欽住宅</v>
      </c>
      <c r="C283" t="str">
        <f>"(107)南工造字第02823號"</f>
        <v>(107)南工造字第02823號</v>
      </c>
      <c r="D283" t="str">
        <f>"108/10/22"</f>
        <v>108/10/22</v>
      </c>
      <c r="E283" t="str">
        <f>"2019/10/22 上午 12:00:00"</f>
        <v>2019/10/22 上午 12:00:00</v>
      </c>
      <c r="F283" t="str">
        <f>"A1"</f>
        <v>A1</v>
      </c>
    </row>
    <row r="284" spans="1:6" ht="16.5">
      <c r="A284" t="str">
        <f>"AA007111832"</f>
        <v>AA007111832</v>
      </c>
      <c r="B284" t="str">
        <f>"元闊建設(4Fx7戶)住宅K2~K9"</f>
        <v>元闊建設(4Fx7戶)住宅K2~K9</v>
      </c>
      <c r="C284" t="str">
        <f>"(107)南工造字第02575~02581號"</f>
        <v>(107)南工造字第02575~02581號</v>
      </c>
      <c r="D284" t="str">
        <f>"108/10/27"</f>
        <v>108/10/27</v>
      </c>
      <c r="E284" t="str">
        <f>"2019/10/23 上午 12:00:00"</f>
        <v>2019/10/23 上午 12:00:00</v>
      </c>
      <c r="F284" t="str">
        <f>"A1"</f>
        <v>A1</v>
      </c>
    </row>
    <row r="285" spans="1:6" ht="16.5">
      <c r="A285" t="str">
        <f>"AA007111879"</f>
        <v>AA007111879</v>
      </c>
      <c r="B285" t="str">
        <f>"元闊建設(4Fx14戶)住宅E1~E16"</f>
        <v>元闊建設(4Fx14戶)住宅E1~E16</v>
      </c>
      <c r="C285" t="str">
        <f>"(107)南工造字第02611~02624號"</f>
        <v>(107)南工造字第02611~02624號</v>
      </c>
      <c r="D285" t="str">
        <f>"108/10/27"</f>
        <v>108/10/27</v>
      </c>
      <c r="E285" t="str">
        <f>"2019/10/23 上午 12:00:00"</f>
        <v>2019/10/23 上午 12:00:00</v>
      </c>
      <c r="F285" t="str">
        <f>"A1"</f>
        <v>A1</v>
      </c>
    </row>
    <row r="286" spans="1:6" ht="16.5">
      <c r="A286" t="str">
        <f>"AA007111949"</f>
        <v>AA007111949</v>
      </c>
      <c r="B286" t="str">
        <f>"C1-普慧企業股份有限公司 (4FX1戶)廠房 辦公室 新建工程"</f>
        <v>C1-普慧企業股份有限公司 (4FX1戶)廠房 辦公室 新建工程</v>
      </c>
      <c r="C286" t="str">
        <f>"(107)南工造字第02519號"</f>
        <v>(107)南工造字第02519號</v>
      </c>
      <c r="D286" t="str">
        <f>"108/10/16"</f>
        <v>108/10/16</v>
      </c>
      <c r="E286" t="str">
        <f>"2019/10/9 上午 12:00:00"</f>
        <v>2019/10/9 上午 12:00:00</v>
      </c>
      <c r="F286" t="str">
        <f>"C1"</f>
        <v>C1</v>
      </c>
    </row>
    <row r="287" spans="1:6" ht="16.5">
      <c r="A287" t="str">
        <f>"AA007112029"</f>
        <v>AA007112029</v>
      </c>
      <c r="B287" t="str">
        <f>"臺南第一高級中學展示廳新建工程"</f>
        <v>臺南第一高級中學展示廳新建工程</v>
      </c>
      <c r="C287" t="str">
        <f>"(107)南工造字第02671號"</f>
        <v>(107)南工造字第02671號</v>
      </c>
      <c r="D287" t="str">
        <f>"108/10/29"</f>
        <v>108/10/29</v>
      </c>
      <c r="E287" t="str">
        <f>"2019/10/29 上午 12:00:00"</f>
        <v>2019/10/29 上午 12:00:00</v>
      </c>
      <c r="F287" t="s">
        <v>13</v>
      </c>
    </row>
    <row r="288" spans="1:6" ht="16.5">
      <c r="A288" t="str">
        <f>"AA007112144"</f>
        <v>AA007112144</v>
      </c>
      <c r="B288" t="str">
        <f>"元闊建設(4Fx15戶)住宅(E17~E32)"</f>
        <v>元闊建設(4Fx15戶)住宅(E17~E32)</v>
      </c>
      <c r="C288" t="str">
        <f>"(107)南工造字第02625~02639號"</f>
        <v>(107)南工造字第02625~02639號</v>
      </c>
      <c r="D288" t="str">
        <f>"108/10/27"</f>
        <v>108/10/27</v>
      </c>
      <c r="E288" t="str">
        <f>"2019/10/23 上午 12:00:00"</f>
        <v>2019/10/23 上午 12:00:00</v>
      </c>
      <c r="F288" t="str">
        <f>"A1"</f>
        <v>A1</v>
      </c>
    </row>
    <row r="289" spans="1:6" ht="16.5">
      <c r="A289" t="str">
        <f>"AA007112180"</f>
        <v>AA007112180</v>
      </c>
      <c r="B289" t="str">
        <f>"元闊建設(4Fx14戶)住宅D1~D16"</f>
        <v>元闊建設(4Fx14戶)住宅D1~D16</v>
      </c>
      <c r="C289" t="str">
        <f>"(107)南工造字第02582~02595號"</f>
        <v>(107)南工造字第02582~02595號</v>
      </c>
      <c r="D289" t="str">
        <f>"108/10/31"</f>
        <v>108/10/31</v>
      </c>
      <c r="E289" t="str">
        <f>"2019/10/31 上午 12:00:00"</f>
        <v>2019/10/31 上午 12:00:00</v>
      </c>
      <c r="F289" t="str">
        <f>"A1"</f>
        <v>A1</v>
      </c>
    </row>
    <row r="290" spans="1:6" ht="16.5">
      <c r="A290" t="str">
        <f>"AA007112190"</f>
        <v>AA007112190</v>
      </c>
      <c r="B290" t="str">
        <f>"元闊建設(4Fx15戶)住宅D17~D32"</f>
        <v>元闊建設(4Fx15戶)住宅D17~D32</v>
      </c>
      <c r="C290" t="str">
        <f>"(107)南工造字第2596~02610號"</f>
        <v>(107)南工造字第2596~02610號</v>
      </c>
      <c r="D290" t="str">
        <f>"108/10/27"</f>
        <v>108/10/27</v>
      </c>
      <c r="E290" t="str">
        <f>"2019/10/23 上午 12:00:00"</f>
        <v>2019/10/23 上午 12:00:00</v>
      </c>
      <c r="F290" t="str">
        <f>"A1"</f>
        <v>A1</v>
      </c>
    </row>
    <row r="291" spans="1:6" ht="16.5">
      <c r="A291" t="str">
        <f>"AA007114068"</f>
        <v>AA007114068</v>
      </c>
      <c r="B291" t="str">
        <f>"得邑建設股份有限公司 住宅 集合住宅新建工程"</f>
        <v>得邑建設股份有限公司 住宅 集合住宅新建工程</v>
      </c>
      <c r="C291" t="str">
        <f>"(107)高市工建築字第01601~01626號"</f>
        <v>(107)高市工建築字第01601~01626號</v>
      </c>
      <c r="D291" t="str">
        <f>"108/10/17"</f>
        <v>108/10/17</v>
      </c>
      <c r="E291" t="str">
        <f>"2019/10/3 上午 12:00:00"</f>
        <v>2019/10/3 上午 12:00:00</v>
      </c>
      <c r="F291" t="s">
        <v>25</v>
      </c>
    </row>
    <row r="292" spans="1:6" ht="16.5">
      <c r="A292" t="str">
        <f>"AA007114518"</f>
        <v>AA007114518</v>
      </c>
      <c r="B292" t="str">
        <f>"住宅新建工程"</f>
        <v>住宅新建工程</v>
      </c>
      <c r="C292" t="str">
        <f>"(107)桃市都建執照字第會楊00696號"</f>
        <v>(107)桃市都建執照字第會楊00696號</v>
      </c>
      <c r="D292" t="str">
        <f>"108/10/21"</f>
        <v>108/10/21</v>
      </c>
      <c r="E292" t="str">
        <f>"2019/10/17 上午 12:00:00"</f>
        <v>2019/10/17 上午 12:00:00</v>
      </c>
      <c r="F292" t="str">
        <f>"A1"</f>
        <v>A1</v>
      </c>
    </row>
    <row r="293" spans="1:6" ht="16.5">
      <c r="A293" t="str">
        <f>"AA007114528"</f>
        <v>AA007114528</v>
      </c>
      <c r="B293" t="str">
        <f>"住宅新建工程"</f>
        <v>住宅新建工程</v>
      </c>
      <c r="C293" t="str">
        <f>"(107)桃市都建執照字第會楊00697號"</f>
        <v>(107)桃市都建執照字第會楊00697號</v>
      </c>
      <c r="D293" t="str">
        <f>"108/10/21"</f>
        <v>108/10/21</v>
      </c>
      <c r="E293" t="str">
        <f>"2019/10/17 上午 12:00:00"</f>
        <v>2019/10/17 上午 12:00:00</v>
      </c>
      <c r="F293" t="str">
        <f>"A1"</f>
        <v>A1</v>
      </c>
    </row>
    <row r="294" spans="1:6" ht="16.5">
      <c r="A294" t="str">
        <f>"AA007114713"</f>
        <v>AA007114713</v>
      </c>
      <c r="B294" t="str">
        <f>"B1 童志豪辦公室.住宅新建工程"</f>
        <v>B1 童志豪辦公室.住宅新建工程</v>
      </c>
      <c r="C294" t="str">
        <f>"107中都建字第01597號"</f>
        <v>107中都建字第01597號</v>
      </c>
      <c r="D294" t="str">
        <f>"108/10/05"</f>
        <v>108/10/05</v>
      </c>
      <c r="E294" t="str">
        <f>"2019/10/5 上午 12:00:00"</f>
        <v>2019/10/5 上午 12:00:00</v>
      </c>
      <c r="F294" t="str">
        <f>"B1"</f>
        <v>B1</v>
      </c>
    </row>
    <row r="295" spans="1:6" ht="16.5">
      <c r="A295" t="str">
        <f>"AA007115068"</f>
        <v>AA007115068</v>
      </c>
      <c r="B295" t="str">
        <f>"B1-觀武建設興村段四戶住宅新建工程"</f>
        <v>B1-觀武建設興村段四戶住宅新建工程</v>
      </c>
      <c r="C295" t="str">
        <f>"107嘉市府都建執字第0345號"</f>
        <v>107嘉市府都建執字第0345號</v>
      </c>
      <c r="D295" t="str">
        <f>"108/10/29"</f>
        <v>108/10/29</v>
      </c>
      <c r="E295" t="str">
        <f>"2019/10/29 上午 12:00:00"</f>
        <v>2019/10/29 上午 12:00:00</v>
      </c>
      <c r="F295" t="s">
        <v>9</v>
      </c>
    </row>
    <row r="296" spans="1:6" ht="16.5">
      <c r="A296" t="str">
        <f>"AA007116460"</f>
        <v>AA007116460</v>
      </c>
      <c r="B296" t="str">
        <f>"鄭淵中3F*1戶住宅新建工程"</f>
        <v>鄭淵中3F*1戶住宅新建工程</v>
      </c>
      <c r="C296" t="str">
        <f>"(107)南工造字第02933號"</f>
        <v>(107)南工造字第02933號</v>
      </c>
      <c r="D296" t="str">
        <f>"108/10/02"</f>
        <v>108/10/02</v>
      </c>
      <c r="E296" t="str">
        <f>"2019/10/2 上午 12:00:00"</f>
        <v>2019/10/2 上午 12:00:00</v>
      </c>
      <c r="F296" t="str">
        <f>"A1"</f>
        <v>A1</v>
      </c>
    </row>
    <row r="297" spans="1:6" ht="16.5">
      <c r="A297" t="str">
        <f>"AA007116679"</f>
        <v>AA007116679</v>
      </c>
      <c r="B297" t="str">
        <f>"C1-川匯建設有限公司住宅新建工程"</f>
        <v>C1-川匯建設有限公司住宅新建工程</v>
      </c>
      <c r="C297" t="str">
        <f>"(107)虎鎮營建字第49號"</f>
        <v>(107)虎鎮營建字第49號</v>
      </c>
      <c r="D297" t="str">
        <f>"108/10/21"</f>
        <v>108/10/21</v>
      </c>
      <c r="E297" t="str">
        <f>"2019/10/15 上午 12:00:00"</f>
        <v>2019/10/15 上午 12:00:00</v>
      </c>
      <c r="F297" t="str">
        <f>"C1"</f>
        <v>C1</v>
      </c>
    </row>
    <row r="298" spans="1:6" ht="16.5">
      <c r="A298" t="str">
        <f>"AA007117640"</f>
        <v>AA007117640</v>
      </c>
      <c r="B298" t="str">
        <f>"宇盛建設集合住宅新建工程"</f>
        <v>宇盛建設集合住宅新建工程</v>
      </c>
      <c r="C298" t="str">
        <f>"(107)府建字第00302號"</f>
        <v>(107)府建字第00302號</v>
      </c>
      <c r="D298" t="str">
        <f>"108/10/21"</f>
        <v>108/10/21</v>
      </c>
      <c r="E298" t="str">
        <f>"2019/10/9 上午 12:00:00"</f>
        <v>2019/10/9 上午 12:00:00</v>
      </c>
      <c r="F298" t="s">
        <v>9</v>
      </c>
    </row>
    <row r="299" spans="1:6" ht="16.5">
      <c r="A299" t="str">
        <f>"AA007118755"</f>
        <v>AA007118755</v>
      </c>
      <c r="B299" t="str">
        <f>"A1x6 璟德建設股份有限公司住宅新建工程"</f>
        <v>A1x6 璟德建設股份有限公司住宅新建工程</v>
      </c>
      <c r="C299" t="str">
        <f>"(107)投府建管(造)字第00379~00384號"</f>
        <v>(107)投府建管(造)字第00379~00384號</v>
      </c>
      <c r="D299" t="str">
        <f>"108/10/23"</f>
        <v>108/10/23</v>
      </c>
      <c r="E299" t="str">
        <f>"2019/10/22 上午 12:00:00"</f>
        <v>2019/10/22 上午 12:00:00</v>
      </c>
      <c r="F299" t="s">
        <v>7</v>
      </c>
    </row>
    <row r="300" spans="1:6" ht="16.5">
      <c r="A300" t="str">
        <f>"AA007119131"</f>
        <v>AA007119131</v>
      </c>
      <c r="B300" t="str">
        <f>"吉悅宇股份有限公司住宅新建工程"</f>
        <v>吉悅宇股份有限公司住宅新建工程</v>
      </c>
      <c r="C300" t="str">
        <f>"(107)高市工建築字第01687號 "</f>
        <v>(107)高市工建築字第01687號 </v>
      </c>
      <c r="D300" t="str">
        <f>"108/10/15"</f>
        <v>108/10/15</v>
      </c>
      <c r="E300" t="str">
        <f>"2019/10/7 上午 12:00:00"</f>
        <v>2019/10/7 上午 12:00:00</v>
      </c>
      <c r="F300" t="str">
        <f aca="true" t="shared" si="3" ref="F300:F305">"A1"</f>
        <v>A1</v>
      </c>
    </row>
    <row r="301" spans="1:6" ht="16.5">
      <c r="A301" t="str">
        <f>"AA007119158"</f>
        <v>AA007119158</v>
      </c>
      <c r="B301" t="str">
        <f>"羅瓊宜(4Fx1戶)住宅"</f>
        <v>羅瓊宜(4Fx1戶)住宅</v>
      </c>
      <c r="C301" t="str">
        <f>"(107)南工造字第03015號"</f>
        <v>(107)南工造字第03015號</v>
      </c>
      <c r="D301" t="str">
        <f>"108/10/14"</f>
        <v>108/10/14</v>
      </c>
      <c r="E301" t="str">
        <f>"2019/10/14 上午 12:00:00"</f>
        <v>2019/10/14 上午 12:00:00</v>
      </c>
      <c r="F301" t="str">
        <f t="shared" si="3"/>
        <v>A1</v>
      </c>
    </row>
    <row r="302" spans="1:6" ht="16.5">
      <c r="A302" t="str">
        <f>"AA007119981"</f>
        <v>AA007119981</v>
      </c>
      <c r="B302" t="str">
        <f>"佳詮建設有限公司-住宅新建工程"</f>
        <v>佳詮建設有限公司-住宅新建工程</v>
      </c>
      <c r="C302" t="str">
        <f>"(107)(麥)鄉營建字第00081~00085號"</f>
        <v>(107)(麥)鄉營建字第00081~00085號</v>
      </c>
      <c r="D302" t="str">
        <f>"108/10/17"</f>
        <v>108/10/17</v>
      </c>
      <c r="E302" t="str">
        <f>"2019/10/17 上午 12:00:00"</f>
        <v>2019/10/17 上午 12:00:00</v>
      </c>
      <c r="F302" t="str">
        <f t="shared" si="3"/>
        <v>A1</v>
      </c>
    </row>
    <row r="303" spans="1:6" ht="16.5">
      <c r="A303" t="str">
        <f>"AA007120460"</f>
        <v>AA007120460</v>
      </c>
      <c r="B303" t="str">
        <f>"A1 禾璞建設有限公司店鋪.住宅新建工程"</f>
        <v>A1 禾璞建設有限公司店鋪.住宅新建工程</v>
      </c>
      <c r="C303" t="str">
        <f>"106中都建字第02322號"</f>
        <v>106中都建字第02322號</v>
      </c>
      <c r="D303" t="str">
        <f>"108/10/21"</f>
        <v>108/10/21</v>
      </c>
      <c r="E303" t="str">
        <f>"2019/10/18 上午 12:00:00"</f>
        <v>2019/10/18 上午 12:00:00</v>
      </c>
      <c r="F303" t="str">
        <f t="shared" si="3"/>
        <v>A1</v>
      </c>
    </row>
    <row r="304" spans="1:6" ht="16.5">
      <c r="A304" t="str">
        <f>"AA007120975"</f>
        <v>AA007120975</v>
      </c>
      <c r="B304" t="str">
        <f>"邱春絹住宅新建工程"</f>
        <v>邱春絹住宅新建工程</v>
      </c>
      <c r="C304" t="str">
        <f>"(107)南工造字第02909號"</f>
        <v>(107)南工造字第02909號</v>
      </c>
      <c r="D304" t="str">
        <f>"108/10/18"</f>
        <v>108/10/18</v>
      </c>
      <c r="E304" t="str">
        <f>"2019/10/18 上午 12:00:00"</f>
        <v>2019/10/18 上午 12:00:00</v>
      </c>
      <c r="F304" t="str">
        <f t="shared" si="3"/>
        <v>A1</v>
      </c>
    </row>
    <row r="305" spans="1:6" ht="16.5">
      <c r="A305" t="str">
        <f>"AA007121742"</f>
        <v>AA007121742</v>
      </c>
      <c r="B305" t="str">
        <f>"A1-(葛進卿)古坑鄉田心段911地號葛公館新建工程(變更設計)"</f>
        <v>A1-(葛進卿)古坑鄉田心段911地號葛公館新建工程(變更設計)</v>
      </c>
      <c r="C305" t="str">
        <f>"(107)(古)營建字第00012號"</f>
        <v>(107)(古)營建字第00012號</v>
      </c>
      <c r="D305" t="str">
        <f>"108/10/28"</f>
        <v>108/10/28</v>
      </c>
      <c r="E305" t="str">
        <f>"2019/10/25 上午 12:00:00"</f>
        <v>2019/10/25 上午 12:00:00</v>
      </c>
      <c r="F305" t="str">
        <f t="shared" si="3"/>
        <v>A1</v>
      </c>
    </row>
    <row r="306" spans="1:6" ht="16.5">
      <c r="A306" t="str">
        <f>"AA007121755"</f>
        <v>AA007121755</v>
      </c>
      <c r="B306" t="str">
        <f>"瑞晉建設住宅新建工程"</f>
        <v>瑞晉建設住宅新建工程</v>
      </c>
      <c r="C306" t="str">
        <f>"(107)桃市都建執照字第會龍00843號"</f>
        <v>(107)桃市都建執照字第會龍00843號</v>
      </c>
      <c r="D306" t="str">
        <f>"108/10/23"</f>
        <v>108/10/23</v>
      </c>
      <c r="E306" t="str">
        <f>"2019/10/8 上午 12:00:00"</f>
        <v>2019/10/8 上午 12:00:00</v>
      </c>
      <c r="F306" t="s">
        <v>13</v>
      </c>
    </row>
    <row r="307" spans="1:6" ht="16.5">
      <c r="A307" t="str">
        <f>"AA007122126"</f>
        <v>AA007122126</v>
      </c>
      <c r="B307" t="str">
        <f>"林炘宓住宅新建工程"</f>
        <v>林炘宓住宅新建工程</v>
      </c>
      <c r="C307" t="str">
        <f>"(107)南工造字第03061號"</f>
        <v>(107)南工造字第03061號</v>
      </c>
      <c r="D307" t="str">
        <f>"108/10/04"</f>
        <v>108/10/04</v>
      </c>
      <c r="E307" t="str">
        <f>"2019/10/4 上午 12:00:00"</f>
        <v>2019/10/4 上午 12:00:00</v>
      </c>
      <c r="F307" t="str">
        <f>"A1"</f>
        <v>A1</v>
      </c>
    </row>
    <row r="308" spans="1:6" ht="16.5">
      <c r="A308" t="str">
        <f>"AA007122845"</f>
        <v>AA007122845</v>
      </c>
      <c r="B308" t="str">
        <f>"葉志龍住宅"</f>
        <v>葉志龍住宅</v>
      </c>
      <c r="C308" t="str">
        <f>"(106)南工造字第04824號"</f>
        <v>(106)南工造字第04824號</v>
      </c>
      <c r="D308" t="str">
        <f>"108/10/03"</f>
        <v>108/10/03</v>
      </c>
      <c r="E308" t="str">
        <f>"2019/10/3 上午 12:00:00"</f>
        <v>2019/10/3 上午 12:00:00</v>
      </c>
      <c r="F308" t="str">
        <f>"A1"</f>
        <v>A1</v>
      </c>
    </row>
    <row r="309" spans="1:6" ht="16.5">
      <c r="A309" t="str">
        <f>"AA007123348"</f>
        <v>AA007123348</v>
      </c>
      <c r="B309" t="str">
        <f>"永驊汽車股份有限公司廠房新建工程"</f>
        <v>永驊汽車股份有限公司廠房新建工程</v>
      </c>
      <c r="C309" t="str">
        <f>"(107)高市工建築字第01779號"</f>
        <v>(107)高市工建築字第01779號</v>
      </c>
      <c r="D309" t="str">
        <f>"108/10/30"</f>
        <v>108/10/30</v>
      </c>
      <c r="E309" t="str">
        <f>"2019/10/29 上午 12:00:00"</f>
        <v>2019/10/29 上午 12:00:00</v>
      </c>
      <c r="F309" t="str">
        <f>"C1"</f>
        <v>C1</v>
      </c>
    </row>
    <row r="310" spans="1:6" ht="16.5">
      <c r="A310" t="str">
        <f>"AA007123935"</f>
        <v>AA007123935</v>
      </c>
      <c r="B310" t="str">
        <f>"力慶建設開發有限公司 負責人:林維震(4Fx4戶)住宅"</f>
        <v>力慶建設開發有限公司 負責人:林維震(4Fx4戶)住宅</v>
      </c>
      <c r="C310" t="str">
        <f>"(107)南工造字第03021~03024號"</f>
        <v>(107)南工造字第03021~03024號</v>
      </c>
      <c r="D310" t="str">
        <f>"108/10/29"</f>
        <v>108/10/29</v>
      </c>
      <c r="E310" t="str">
        <f>"2019/10/25 上午 12:00:00"</f>
        <v>2019/10/25 上午 12:00:00</v>
      </c>
      <c r="F310" t="str">
        <f>"A1"</f>
        <v>A1</v>
      </c>
    </row>
    <row r="311" spans="1:6" ht="16.5">
      <c r="A311" t="str">
        <f>"AA007124810"</f>
        <v>AA007124810</v>
      </c>
      <c r="B311" t="str">
        <f>"瓏駿開發(6Fx15戶)集合住宅"</f>
        <v>瓏駿開發(6Fx15戶)集合住宅</v>
      </c>
      <c r="C311" t="str">
        <f>"(107)南工造字第03324號"</f>
        <v>(107)南工造字第03324號</v>
      </c>
      <c r="D311" t="str">
        <f>"108/10/05"</f>
        <v>108/10/05</v>
      </c>
      <c r="E311" t="str">
        <f>"2019/10/5 上午 12:00:00"</f>
        <v>2019/10/5 上午 12:00:00</v>
      </c>
      <c r="F311" t="s">
        <v>13</v>
      </c>
    </row>
    <row r="312" spans="1:6" ht="16.5">
      <c r="A312" t="str">
        <f>"AA007125103"</f>
        <v>AA007125103</v>
      </c>
      <c r="B312" t="str">
        <f>"竑泰建設有限公司　新建工程"</f>
        <v>竑泰建設有限公司　新建工程</v>
      </c>
      <c r="C312" t="str">
        <f>"(107)桃市都建執照字第會桃00863號"</f>
        <v>(107)桃市都建執照字第會桃00863號</v>
      </c>
      <c r="D312" t="str">
        <f>"108/10/29"</f>
        <v>108/10/29</v>
      </c>
      <c r="E312" t="str">
        <f>"2019/10/24 上午 12:00:00"</f>
        <v>2019/10/24 上午 12:00:00</v>
      </c>
      <c r="F312" t="s">
        <v>9</v>
      </c>
    </row>
    <row r="313" spans="1:6" ht="16.5">
      <c r="A313" t="str">
        <f>"AA007125348"</f>
        <v>AA007125348</v>
      </c>
      <c r="B313" t="str">
        <f>"荷蘊建設有限公司 負責人:郭雨焙 新建工程"</f>
        <v>荷蘊建設有限公司 負責人:郭雨焙 新建工程</v>
      </c>
      <c r="C313" t="str">
        <f>"(107)府建字第00367號"</f>
        <v>(107)府建字第00367號</v>
      </c>
      <c r="D313" t="str">
        <f>"108/10/09"</f>
        <v>108/10/09</v>
      </c>
      <c r="E313" t="str">
        <f>"2019/9/12 上午 12:00:00"</f>
        <v>2019/9/12 上午 12:00:00</v>
      </c>
      <c r="F313" t="s">
        <v>9</v>
      </c>
    </row>
    <row r="314" spans="1:6" ht="16.5">
      <c r="A314" t="str">
        <f>"AA007125640"</f>
        <v>AA007125640</v>
      </c>
      <c r="B314" t="str">
        <f>"晏京國際開發股份有限公司五結鄉孝威段住宅案(A7~A12)"</f>
        <v>晏京國際開發股份有限公司五結鄉孝威段住宅案(A7~A12)</v>
      </c>
      <c r="C314" t="str">
        <f>"(107)(7)(13)建管建字第00427號~00432號"</f>
        <v>(107)(7)(13)建管建字第00427號~00432號</v>
      </c>
      <c r="D314" t="str">
        <f>"108/10/01"</f>
        <v>108/10/01</v>
      </c>
      <c r="E314" t="str">
        <f>"2019/9/12 上午 12:00:00"</f>
        <v>2019/9/12 上午 12:00:00</v>
      </c>
      <c r="F314" t="str">
        <f>"A1"</f>
        <v>A1</v>
      </c>
    </row>
    <row r="315" spans="1:6" ht="16.5">
      <c r="A315" t="str">
        <f>"AA007126083"</f>
        <v>AA007126083</v>
      </c>
      <c r="B315" t="str">
        <f>"聖鎰工程工業股份有限公司廠房新建工程"</f>
        <v>聖鎰工程工業股份有限公司廠房新建工程</v>
      </c>
      <c r="C315" t="str">
        <f>"(107 )高市工建築字第01635號"</f>
        <v>(107 )高市工建築字第01635號</v>
      </c>
      <c r="D315" t="str">
        <f>"108/10/18"</f>
        <v>108/10/18</v>
      </c>
      <c r="E315" t="str">
        <f>"2019/10/4 上午 12:00:00"</f>
        <v>2019/10/4 上午 12:00:00</v>
      </c>
      <c r="F315" t="s">
        <v>13</v>
      </c>
    </row>
    <row r="316" spans="1:6" ht="16.5">
      <c r="A316" t="str">
        <f>"AA007126221"</f>
        <v>AA007126221</v>
      </c>
      <c r="B316" t="str">
        <f>"蔡慧娟(4Fx1戶)住宅"</f>
        <v>蔡慧娟(4Fx1戶)住宅</v>
      </c>
      <c r="C316" t="str">
        <f>"(107)南工造字第03376號"</f>
        <v>(107)南工造字第03376號</v>
      </c>
      <c r="D316" t="str">
        <f>"108/10/25"</f>
        <v>108/10/25</v>
      </c>
      <c r="E316" t="str">
        <f>"2019/10/24 上午 12:00:00"</f>
        <v>2019/10/24 上午 12:00:00</v>
      </c>
      <c r="F316" t="str">
        <f>"A1"</f>
        <v>A1</v>
      </c>
    </row>
    <row r="317" spans="1:6" ht="16.5">
      <c r="A317" t="str">
        <f>"AA007126652"</f>
        <v>AA007126652</v>
      </c>
      <c r="B317" t="str">
        <f>"A1-鄭冠之住宅新建工程"</f>
        <v>A1-鄭冠之住宅新建工程</v>
      </c>
      <c r="C317" t="str">
        <f>"107雲營建字第910號"</f>
        <v>107雲營建字第910號</v>
      </c>
      <c r="D317" t="str">
        <f>"108/10/17"</f>
        <v>108/10/17</v>
      </c>
      <c r="E317" t="str">
        <f>"2019/10/17 上午 12:00:00"</f>
        <v>2019/10/17 上午 12:00:00</v>
      </c>
      <c r="F317" t="str">
        <f>"A1"</f>
        <v>A1</v>
      </c>
    </row>
    <row r="318" spans="1:6" ht="16.5">
      <c r="A318" t="str">
        <f>"AA007126679"</f>
        <v>AA007126679</v>
      </c>
      <c r="B318" t="str">
        <f>"Costco內湖大樓新建工程"</f>
        <v>Costco內湖大樓新建工程</v>
      </c>
      <c r="C318" t="str">
        <f>"107建字第0129號"</f>
        <v>107建字第0129號</v>
      </c>
      <c r="D318" t="str">
        <f>"108/10/08"</f>
        <v>108/10/08</v>
      </c>
      <c r="E318" t="str">
        <f>"2019/10/2 上午 12:00:00"</f>
        <v>2019/10/2 上午 12:00:00</v>
      </c>
      <c r="F318" t="s">
        <v>13</v>
      </c>
    </row>
    <row r="319" spans="1:6" ht="16.5">
      <c r="A319" t="str">
        <f>"AA007127216"</f>
        <v>AA007127216</v>
      </c>
      <c r="B319" t="str">
        <f>"万田建設住宅新建工程"</f>
        <v>万田建設住宅新建工程</v>
      </c>
      <c r="C319" t="str">
        <f>"(107)桃市都建執照字第會溪00884~00888號"</f>
        <v>(107)桃市都建執照字第會溪00884~00888號</v>
      </c>
      <c r="D319" t="str">
        <f>"108/10/07"</f>
        <v>108/10/07</v>
      </c>
      <c r="E319" t="str">
        <f>"2019/10/4 上午 12:00:00"</f>
        <v>2019/10/4 上午 12:00:00</v>
      </c>
      <c r="F319" t="str">
        <f>"A1"</f>
        <v>A1</v>
      </c>
    </row>
    <row r="320" spans="1:6" ht="16.5">
      <c r="A320" t="str">
        <f>"AA007127311"</f>
        <v>AA007127311</v>
      </c>
      <c r="B320" t="str">
        <f>"陳清田3F*1戶住宅新建工程"</f>
        <v>陳清田3F*1戶住宅新建工程</v>
      </c>
      <c r="C320" t="str">
        <f>"(107)南工造字第03131號"</f>
        <v>(107)南工造字第03131號</v>
      </c>
      <c r="D320" t="str">
        <f>"108/10/14"</f>
        <v>108/10/14</v>
      </c>
      <c r="E320" t="str">
        <f>"2019/10/14 上午 12:00:00"</f>
        <v>2019/10/14 上午 12:00:00</v>
      </c>
      <c r="F320" t="str">
        <f>"A1"</f>
        <v>A1</v>
      </c>
    </row>
    <row r="321" spans="1:6" ht="16.5">
      <c r="A321" t="str">
        <f>"AA007127353"</f>
        <v>AA007127353</v>
      </c>
      <c r="B321" t="str">
        <f>"捷耀建設有限公司  住宅新建工程"</f>
        <v>捷耀建設有限公司  住宅新建工程</v>
      </c>
      <c r="C321" t="str">
        <f>"(107)桃市都建執照字第會觀00704號"</f>
        <v>(107)桃市都建執照字第會觀00704號</v>
      </c>
      <c r="D321" t="str">
        <f>"108/10/09"</f>
        <v>108/10/09</v>
      </c>
      <c r="E321" t="str">
        <f>"2019/9/18 上午 12:00:00"</f>
        <v>2019/9/18 上午 12:00:00</v>
      </c>
      <c r="F321" t="str">
        <f>"B1"</f>
        <v>B1</v>
      </c>
    </row>
    <row r="322" spans="1:6" ht="16.5">
      <c r="A322" t="str">
        <f>"AA007127360"</f>
        <v>AA007127360</v>
      </c>
      <c r="B322" t="str">
        <f>"捷耀建設有限公司  集合住宅新建工程"</f>
        <v>捷耀建設有限公司  集合住宅新建工程</v>
      </c>
      <c r="C322" t="str">
        <f>"(107)桃市都建執照字第會觀00742號"</f>
        <v>(107)桃市都建執照字第會觀00742號</v>
      </c>
      <c r="D322" t="str">
        <f>"108/10/09"</f>
        <v>108/10/09</v>
      </c>
      <c r="E322" t="str">
        <f>"2019/9/18 上午 12:00:00"</f>
        <v>2019/9/18 上午 12:00:00</v>
      </c>
      <c r="F322" t="s">
        <v>9</v>
      </c>
    </row>
    <row r="323" spans="1:6" ht="16.5">
      <c r="A323" t="str">
        <f>"AA007127845"</f>
        <v>AA007127845</v>
      </c>
      <c r="B323" t="str">
        <f>"興光工業股份有限公司 廠房新建工程"</f>
        <v>興光工業股份有限公司 廠房新建工程</v>
      </c>
      <c r="C323" t="str">
        <f>"(107)南工造字第03071號"</f>
        <v>(107)南工造字第03071號</v>
      </c>
      <c r="D323" t="str">
        <f>"108/10/16"</f>
        <v>108/10/16</v>
      </c>
      <c r="E323" t="str">
        <f>"2019/10/9 上午 12:00:00"</f>
        <v>2019/10/9 上午 12:00:00</v>
      </c>
      <c r="F323" t="str">
        <f>"C1"</f>
        <v>C1</v>
      </c>
    </row>
    <row r="324" spans="1:6" ht="16.5">
      <c r="A324" t="str">
        <f>"AA007128168"</f>
        <v>AA007128168</v>
      </c>
      <c r="B324" t="str">
        <f>"桃園市蘆竹區光明市民活動中心新建工程"</f>
        <v>桃園市蘆竹區光明市民活動中心新建工程</v>
      </c>
      <c r="C324" t="str">
        <f>"(107)桃市都建執照字第會蘆00878號"</f>
        <v>(107)桃市都建執照字第會蘆00878號</v>
      </c>
      <c r="D324" t="str">
        <f>"108/10/29"</f>
        <v>108/10/29</v>
      </c>
      <c r="E324" t="str">
        <f>"2019/10/25 上午 12:00:00"</f>
        <v>2019/10/25 上午 12:00:00</v>
      </c>
      <c r="F324" t="s">
        <v>13</v>
      </c>
    </row>
    <row r="325" spans="1:6" ht="16.5">
      <c r="A325" t="str">
        <f>"AA007130338"</f>
        <v>AA007130338</v>
      </c>
      <c r="B325" t="str">
        <f>"逸采建設有限公司臨安段房屋新建工程"</f>
        <v>逸采建設有限公司臨安段房屋新建工程</v>
      </c>
      <c r="C325" t="str">
        <f>"(107)南工造字第03497號"</f>
        <v>(107)南工造字第03497號</v>
      </c>
      <c r="D325" t="str">
        <f>"108/10/03"</f>
        <v>108/10/03</v>
      </c>
      <c r="E325" t="str">
        <f>"2019/10/3 上午 12:00:00"</f>
        <v>2019/10/3 上午 12:00:00</v>
      </c>
      <c r="F325" t="str">
        <f>"A1"</f>
        <v>A1</v>
      </c>
    </row>
    <row r="326" spans="1:6" ht="16.5">
      <c r="A326" t="str">
        <f>"AA007130518"</f>
        <v>AA007130518</v>
      </c>
      <c r="B326" t="str">
        <f>"B1 洪國堂廠房新建工程"</f>
        <v>B1 洪國堂廠房新建工程</v>
      </c>
      <c r="C326" t="str">
        <f>"107中都建字第01821號"</f>
        <v>107中都建字第01821號</v>
      </c>
      <c r="D326" t="str">
        <f>"108/10/08"</f>
        <v>108/10/08</v>
      </c>
      <c r="E326" t="str">
        <f>"2019/10/1 上午 12:00:00"</f>
        <v>2019/10/1 上午 12:00:00</v>
      </c>
      <c r="F326" t="str">
        <f>"B1"</f>
        <v>B1</v>
      </c>
    </row>
    <row r="327" spans="1:6" ht="16.5">
      <c r="A327" t="str">
        <f>"AA007130562"</f>
        <v>AA007130562</v>
      </c>
      <c r="B327" t="str">
        <f>"合申建設-柳營8戶住宅新建工程"</f>
        <v>合申建設-柳營8戶住宅新建工程</v>
      </c>
      <c r="C327" t="str">
        <f>"(107)南工造字第02432~02439號"</f>
        <v>(107)南工造字第02432~02439號</v>
      </c>
      <c r="D327" t="str">
        <f>"108/10/03"</f>
        <v>108/10/03</v>
      </c>
      <c r="E327" t="str">
        <f>"2019/10/3 上午 12:00:00"</f>
        <v>2019/10/3 上午 12:00:00</v>
      </c>
      <c r="F327" t="str">
        <f>"A1"</f>
        <v>A1</v>
      </c>
    </row>
    <row r="328" spans="1:6" ht="16.5">
      <c r="A328" t="str">
        <f>"TP207130579"</f>
        <v>TP207130579</v>
      </c>
      <c r="B328" t="str">
        <f>"寶吉第建設汐止北山段集合住宅新建工程"</f>
        <v>寶吉第建設汐止北山段集合住宅新建工程</v>
      </c>
      <c r="C328" t="str">
        <f>"105汐建字第00191號"</f>
        <v>105汐建字第00191號</v>
      </c>
      <c r="D328" t="str">
        <f>"108/10/16"</f>
        <v>108/10/16</v>
      </c>
      <c r="E328" t="str">
        <f>"2019/9/23 上午 12:00:00"</f>
        <v>2019/9/23 上午 12:00:00</v>
      </c>
      <c r="F328" t="s">
        <v>13</v>
      </c>
    </row>
    <row r="329" spans="1:6" ht="16.5">
      <c r="A329" t="str">
        <f>"AA007130713"</f>
        <v>AA007130713</v>
      </c>
      <c r="B329" t="str">
        <f>"A1-又昌建設有限公司住宅新建工程"</f>
        <v>A1-又昌建設有限公司住宅新建工程</v>
      </c>
      <c r="C329" t="str">
        <f>"107虎鎮營建字第52號"</f>
        <v>107虎鎮營建字第52號</v>
      </c>
      <c r="D329" t="str">
        <f>"108/10/21"</f>
        <v>108/10/21</v>
      </c>
      <c r="E329" t="str">
        <f>"2019/10/18 上午 12:00:00"</f>
        <v>2019/10/18 上午 12:00:00</v>
      </c>
      <c r="F329" t="str">
        <f>"A1"</f>
        <v>A1</v>
      </c>
    </row>
    <row r="330" spans="1:6" ht="16.5">
      <c r="A330" t="str">
        <f>"AA007130720"</f>
        <v>AA007130720</v>
      </c>
      <c r="B330" t="str">
        <f>"A1-上野建設新大崙段住宅新建工程"</f>
        <v>A1-上野建設新大崙段住宅新建工程</v>
      </c>
      <c r="C330" t="str">
        <f>"107嘉水鄉建執字第030號"</f>
        <v>107嘉水鄉建執字第030號</v>
      </c>
      <c r="D330" t="str">
        <f>"108/10/23"</f>
        <v>108/10/23</v>
      </c>
      <c r="E330" t="str">
        <f>"2019/10/23 上午 12:00:00"</f>
        <v>2019/10/23 上午 12:00:00</v>
      </c>
      <c r="F330" t="str">
        <f>"A1"</f>
        <v>A1</v>
      </c>
    </row>
    <row r="331" spans="1:6" ht="16.5">
      <c r="A331" t="str">
        <f>"AA007130975"</f>
        <v>AA007130975</v>
      </c>
      <c r="B331" t="str">
        <f>"慶曜建設有限公司 負責人:邱右文 新建工程"</f>
        <v>慶曜建設有限公司 負責人:邱右文 新建工程</v>
      </c>
      <c r="C331" t="str">
        <f>"(107)桃市都建執照字第會觀00791號"</f>
        <v>(107)桃市都建執照字第會觀00791號</v>
      </c>
      <c r="D331" t="str">
        <f>"108/10/31"</f>
        <v>108/10/31</v>
      </c>
      <c r="E331" t="str">
        <f>"2019/10/18 上午 12:00:00"</f>
        <v>2019/10/18 上午 12:00:00</v>
      </c>
      <c r="F331" t="str">
        <f>"C1"</f>
        <v>C1</v>
      </c>
    </row>
    <row r="332" spans="1:6" ht="16.5">
      <c r="A332" t="str">
        <f>"AA007132311"</f>
        <v>AA007132311</v>
      </c>
      <c r="B332" t="str">
        <f>"臺南市東陽國民小學 校長：蔡淑芬(2Fx1戶)國小"</f>
        <v>臺南市東陽國民小學 校長：蔡淑芬(2Fx1戶)國小</v>
      </c>
      <c r="C332" t="str">
        <f>"(107)南工造字第03113號"</f>
        <v>(107)南工造字第03113號</v>
      </c>
      <c r="D332" t="str">
        <f>"108/10/27"</f>
        <v>108/10/27</v>
      </c>
      <c r="E332" t="str">
        <f>"2019/10/22 上午 12:00:00"</f>
        <v>2019/10/22 上午 12:00:00</v>
      </c>
      <c r="F332" t="s">
        <v>13</v>
      </c>
    </row>
    <row r="333" spans="1:6" ht="16.5">
      <c r="A333" t="str">
        <f>"AA007133054"</f>
        <v>AA007133054</v>
      </c>
      <c r="B333" t="str">
        <f>"A1-樂和開發建設湖子內段10戶住宅新建工程"</f>
        <v>A1-樂和開發建設湖子內段10戶住宅新建工程</v>
      </c>
      <c r="C333" t="str">
        <f>"A107嘉市府都建執字第000405~414號"</f>
        <v>A107嘉市府都建執字第000405~414號</v>
      </c>
      <c r="D333" t="str">
        <f>"108/10/05"</f>
        <v>108/10/05</v>
      </c>
      <c r="E333" t="str">
        <f>"2019/10/5 上午 12:00:00"</f>
        <v>2019/10/5 上午 12:00:00</v>
      </c>
      <c r="F333" t="str">
        <f>"A1"</f>
        <v>A1</v>
      </c>
    </row>
    <row r="334" spans="1:6" ht="16.5">
      <c r="A334" t="str">
        <f>"AA007133168"</f>
        <v>AA007133168</v>
      </c>
      <c r="B334" t="str">
        <f>"寶登建設開發有限公司負責人:曹顧贏房屋新建工程"</f>
        <v>寶登建設開發有限公司負責人:曹顧贏房屋新建工程</v>
      </c>
      <c r="C334" t="str">
        <f>"(107)南工造字第03592~03597號"</f>
        <v>(107)南工造字第03592~03597號</v>
      </c>
      <c r="D334" t="str">
        <f>"108/10/07"</f>
        <v>108/10/07</v>
      </c>
      <c r="E334" t="str">
        <f>"2019/10/3 上午 12:00:00"</f>
        <v>2019/10/3 上午 12:00:00</v>
      </c>
      <c r="F334" t="str">
        <f>"A1"</f>
        <v>A1</v>
      </c>
    </row>
    <row r="335" spans="1:6" ht="16.5">
      <c r="A335" t="str">
        <f>"AA007133280"</f>
        <v>AA007133280</v>
      </c>
      <c r="B335" t="str">
        <f>"A1-兆暉建設開發有限公司住宅新建工程"</f>
        <v>A1-兆暉建設開發有限公司住宅新建工程</v>
      </c>
      <c r="C335" t="str">
        <f>"(107)雲水鄉建字第21~24號"</f>
        <v>(107)雲水鄉建字第21~24號</v>
      </c>
      <c r="D335" t="str">
        <f>"108/10/29"</f>
        <v>108/10/29</v>
      </c>
      <c r="E335" t="str">
        <f>"2019/10/29 上午 12:00:00"</f>
        <v>2019/10/29 上午 12:00:00</v>
      </c>
      <c r="F335" t="str">
        <f>"A1"</f>
        <v>A1</v>
      </c>
    </row>
    <row r="336" spans="1:6" ht="16.5">
      <c r="A336" t="str">
        <f>"AA007133755"</f>
        <v>AA007133755</v>
      </c>
      <c r="B336" t="str">
        <f>"A1-王采華住宅新建工程"</f>
        <v>A1-王采華住宅新建工程</v>
      </c>
      <c r="C336" t="str">
        <f>"107雲營建字第00975號"</f>
        <v>107雲營建字第00975號</v>
      </c>
      <c r="D336" t="str">
        <f>"108/10/28"</f>
        <v>108/10/28</v>
      </c>
      <c r="E336" t="str">
        <f>"2019/10/24 上午 12:00:00"</f>
        <v>2019/10/24 上午 12:00:00</v>
      </c>
      <c r="F336" t="str">
        <f>"A1"</f>
        <v>A1</v>
      </c>
    </row>
    <row r="337" spans="1:6" ht="16.5">
      <c r="A337" t="str">
        <f>"AA007134382"</f>
        <v>AA007134382</v>
      </c>
      <c r="B337" t="str">
        <f>"A1-謝明仁等2戶住宅新建工程"</f>
        <v>A1-謝明仁等2戶住宅新建工程</v>
      </c>
      <c r="C337" t="str">
        <f>"(107)嘉新鄉建字第00048~00049號"</f>
        <v>(107)嘉新鄉建字第00048~00049號</v>
      </c>
      <c r="D337" t="str">
        <f>"108/10/01"</f>
        <v>108/10/01</v>
      </c>
      <c r="E337" t="str">
        <f>"2019/10/1 上午 12:00:00"</f>
        <v>2019/10/1 上午 12:00:00</v>
      </c>
      <c r="F337" t="str">
        <f>"A1"</f>
        <v>A1</v>
      </c>
    </row>
    <row r="338" spans="1:6" ht="16.5">
      <c r="A338" t="str">
        <f>"AA007134863"</f>
        <v>AA007134863</v>
      </c>
      <c r="B338" t="str">
        <f>"元翔開發有限公司 代表人：陳燕玲 4F5戶 住宅停車空間新建工程"</f>
        <v>元翔開發有限公司 代表人：陳燕玲 4F5戶 住宅停車空間新建工程</v>
      </c>
      <c r="C338" t="str">
        <f>"(107)南工造字第00219號"</f>
        <v>(107)南工造字第00219號</v>
      </c>
      <c r="D338" t="str">
        <f>"108/10/03"</f>
        <v>108/10/03</v>
      </c>
      <c r="E338" t="str">
        <f>"2019/10/3 上午 12:00:00"</f>
        <v>2019/10/3 上午 12:00:00</v>
      </c>
      <c r="F338" t="str">
        <f>"B1"</f>
        <v>B1</v>
      </c>
    </row>
    <row r="339" spans="1:6" ht="16.5">
      <c r="A339" t="str">
        <f>"AA007135353"</f>
        <v>AA007135353</v>
      </c>
      <c r="B339" t="str">
        <f>"大澤科技有限公司廠房(二廠)新建工程"</f>
        <v>大澤科技有限公司廠房(二廠)新建工程</v>
      </c>
      <c r="C339" t="str">
        <f>"(107)南工造字第03607號"</f>
        <v>(107)南工造字第03607號</v>
      </c>
      <c r="D339" t="str">
        <f>"108/10/16"</f>
        <v>108/10/16</v>
      </c>
      <c r="E339" t="str">
        <f>"2019/10/9 上午 12:00:00"</f>
        <v>2019/10/9 上午 12:00:00</v>
      </c>
      <c r="F339" t="str">
        <f>"C1"</f>
        <v>C1</v>
      </c>
    </row>
    <row r="340" spans="1:6" ht="16.5">
      <c r="A340" t="str">
        <f>"AA007135540"</f>
        <v>AA007135540</v>
      </c>
      <c r="B340" t="str">
        <f>"A1-沈柏岑等3人住宅新建工程"</f>
        <v>A1-沈柏岑等3人住宅新建工程</v>
      </c>
      <c r="C340" t="str">
        <f>"(107)斗南營建字第29號"</f>
        <v>(107)斗南營建字第29號</v>
      </c>
      <c r="D340" t="str">
        <f>"108/10/17"</f>
        <v>108/10/17</v>
      </c>
      <c r="E340" t="str">
        <f>"2019/10/17 上午 12:00:00"</f>
        <v>2019/10/17 上午 12:00:00</v>
      </c>
      <c r="F340" t="str">
        <f>"A1"</f>
        <v>A1</v>
      </c>
    </row>
    <row r="341" spans="1:6" ht="16.5">
      <c r="A341" t="str">
        <f>"AA007135623"</f>
        <v>AA007135623</v>
      </c>
      <c r="B341" t="str">
        <f>"A1、A2金尚達建設富國住宅新建工程(2戶)"</f>
        <v>A1、A2金尚達建設富國住宅新建工程(2戶)</v>
      </c>
      <c r="C341" t="str">
        <f>"花建執照字第107A0212~107A0213號"</f>
        <v>花建執照字第107A0212~107A0213號</v>
      </c>
      <c r="D341" t="str">
        <f>"108/10/22"</f>
        <v>108/10/22</v>
      </c>
      <c r="E341" t="str">
        <f>"2019/10/22 上午 12:00:00"</f>
        <v>2019/10/22 上午 12:00:00</v>
      </c>
      <c r="F341" t="s">
        <v>7</v>
      </c>
    </row>
    <row r="342" spans="1:6" ht="16.5">
      <c r="A342" t="str">
        <f>"AA007136158"</f>
        <v>AA007136158</v>
      </c>
      <c r="B342" t="s">
        <v>26</v>
      </c>
      <c r="C342" t="str">
        <f>"106蘆建字第00157號"</f>
        <v>106蘆建字第00157號</v>
      </c>
      <c r="D342" t="str">
        <f>"108/10/30"</f>
        <v>108/10/30</v>
      </c>
      <c r="E342" t="str">
        <f>"2019/9/30 上午 12:00:00"</f>
        <v>2019/9/30 上午 12:00:00</v>
      </c>
      <c r="F342" t="s">
        <v>12</v>
      </c>
    </row>
    <row r="343" spans="1:6" ht="16.5">
      <c r="A343" t="str">
        <f>"AA007136720"</f>
        <v>AA007136720</v>
      </c>
      <c r="B343" t="str">
        <f>"A1 謝秉諭店鋪.住宅新建工程"</f>
        <v>A1 謝秉諭店鋪.住宅新建工程</v>
      </c>
      <c r="C343" t="str">
        <f>"107中都建字第01476號"</f>
        <v>107中都建字第01476號</v>
      </c>
      <c r="D343" t="str">
        <f>"108/10/28"</f>
        <v>108/10/28</v>
      </c>
      <c r="E343" t="str">
        <f>"2019/10/25 上午 12:00:00"</f>
        <v>2019/10/25 上午 12:00:00</v>
      </c>
      <c r="F343" t="str">
        <f>"A1"</f>
        <v>A1</v>
      </c>
    </row>
    <row r="344" spans="1:6" ht="16.5">
      <c r="A344" t="str">
        <f>"AA007137713"</f>
        <v>AA007137713</v>
      </c>
      <c r="B344" t="str">
        <f>"石婉汝-住宅新建工程"</f>
        <v>石婉汝-住宅新建工程</v>
      </c>
      <c r="C344" t="str">
        <f>"(107)(雲)營建字第01047號"</f>
        <v>(107)(雲)營建字第01047號</v>
      </c>
      <c r="D344" t="str">
        <f>"108/10/31"</f>
        <v>108/10/31</v>
      </c>
      <c r="E344" t="str">
        <f>"2019/10/31 上午 12:00:00"</f>
        <v>2019/10/31 上午 12:00:00</v>
      </c>
      <c r="F344" t="str">
        <f>"A1"</f>
        <v>A1</v>
      </c>
    </row>
    <row r="345" spans="1:6" ht="16.5">
      <c r="A345" t="str">
        <f>"AA007139090"</f>
        <v>AA007139090</v>
      </c>
      <c r="B345" t="str">
        <f>"謝呂玉媛(2Fx3戶)住宅"</f>
        <v>謝呂玉媛(2Fx3戶)住宅</v>
      </c>
      <c r="C345" t="str">
        <f>"(107)南工造字第03569~03571號"</f>
        <v>(107)南工造字第03569~03571號</v>
      </c>
      <c r="D345" t="str">
        <f>"108/10/23"</f>
        <v>108/10/23</v>
      </c>
      <c r="E345" t="str">
        <f>"2019/10/23 上午 12:00:00"</f>
        <v>2019/10/23 上午 12:00:00</v>
      </c>
      <c r="F345" t="str">
        <f>"A1"</f>
        <v>A1</v>
      </c>
    </row>
    <row r="346" spans="1:6" ht="16.5">
      <c r="A346" t="str">
        <f>"AA007139173"</f>
        <v>AA007139173</v>
      </c>
      <c r="B346" t="str">
        <f>"D1裕盛建設股份有限公司店鋪.集合住宅新建工程"</f>
        <v>D1裕盛建設股份有限公司店鋪.集合住宅新建工程</v>
      </c>
      <c r="C346" t="str">
        <f>"106中都建字第01116號"</f>
        <v>106中都建字第01116號</v>
      </c>
      <c r="D346" t="str">
        <f>"108/10/31"</f>
        <v>108/10/31</v>
      </c>
      <c r="E346" t="str">
        <f>"2019/10/28 上午 12:00:00"</f>
        <v>2019/10/28 上午 12:00:00</v>
      </c>
      <c r="F346" t="s">
        <v>27</v>
      </c>
    </row>
    <row r="347" spans="1:6" ht="16.5">
      <c r="A347" t="str">
        <f>"AA007139679"</f>
        <v>AA007139679</v>
      </c>
      <c r="B347" t="str">
        <f>"富裕開發建設有限公司 負責人:江清裕(4Fx8戶)住宅"</f>
        <v>富裕開發建設有限公司 負責人:江清裕(4Fx8戶)住宅</v>
      </c>
      <c r="C347" t="str">
        <f>"(107)南工造字第03583-03590號"</f>
        <v>(107)南工造字第03583-03590號</v>
      </c>
      <c r="D347" t="str">
        <f>"108/10/16"</f>
        <v>108/10/16</v>
      </c>
      <c r="E347" t="str">
        <f>"2019/10/9 上午 12:00:00"</f>
        <v>2019/10/9 上午 12:00:00</v>
      </c>
      <c r="F347" t="str">
        <f>"A1"</f>
        <v>A1</v>
      </c>
    </row>
    <row r="348" spans="1:6" ht="16.5">
      <c r="A348" t="str">
        <f>"AA007140499"</f>
        <v>AA007140499</v>
      </c>
      <c r="B348" t="str">
        <f>"莊鎮懋、沈素英住宅新建工程"</f>
        <v>莊鎮懋、沈素英住宅新建工程</v>
      </c>
      <c r="C348" t="str">
        <f>"(107)(雲)營建字第1079~1080號"</f>
        <v>(107)(雲)營建字第1079~1080號</v>
      </c>
      <c r="D348" t="str">
        <f>"108/10/23"</f>
        <v>108/10/23</v>
      </c>
      <c r="E348" t="str">
        <f>"2019/10/22 上午 12:00:00"</f>
        <v>2019/10/22 上午 12:00:00</v>
      </c>
      <c r="F348" t="str">
        <f>"A1"</f>
        <v>A1</v>
      </c>
    </row>
    <row r="349" spans="1:6" ht="16.5">
      <c r="A349" t="str">
        <f>"AA007140562"</f>
        <v>AA007140562</v>
      </c>
      <c r="B349" t="str">
        <f>"長勝居建設有限公司"</f>
        <v>長勝居建設有限公司</v>
      </c>
      <c r="C349" t="str">
        <f>"(107)南工造字第02937~02948號"</f>
        <v>(107)南工造字第02937~02948號</v>
      </c>
      <c r="D349" t="str">
        <f>"108/10/16"</f>
        <v>108/10/16</v>
      </c>
      <c r="E349" t="str">
        <f>"2019/10/16 上午 12:00:00"</f>
        <v>2019/10/16 上午 12:00:00</v>
      </c>
      <c r="F349" t="str">
        <f>"A1"</f>
        <v>A1</v>
      </c>
    </row>
    <row r="350" spans="1:6" ht="16.5">
      <c r="A350" t="str">
        <f>"AA007141263"</f>
        <v>AA007141263</v>
      </c>
      <c r="B350" t="str">
        <f>"鍾雅莉新店區直潭段364-48地號貳層住宅新建工程"</f>
        <v>鍾雅莉新店區直潭段364-48地號貳層住宅新建工程</v>
      </c>
      <c r="C350" t="str">
        <f>"107店建字第00314號"</f>
        <v>107店建字第00314號</v>
      </c>
      <c r="D350" t="str">
        <f>"108/10/30"</f>
        <v>108/10/30</v>
      </c>
      <c r="E350" t="str">
        <f>"2019/10/25 上午 12:00:00"</f>
        <v>2019/10/25 上午 12:00:00</v>
      </c>
      <c r="F350" t="str">
        <f>"A1"</f>
        <v>A1</v>
      </c>
    </row>
    <row r="351" spans="1:6" ht="16.5">
      <c r="A351" t="str">
        <f>"AA007141485"</f>
        <v>AA007141485</v>
      </c>
      <c r="B351" t="str">
        <f>"長鑫建設集合住宅新建工程"</f>
        <v>長鑫建設集合住宅新建工程</v>
      </c>
      <c r="C351" t="str">
        <f>"(107)府都建字第00215號"</f>
        <v>(107)府都建字第00215號</v>
      </c>
      <c r="D351" t="str">
        <f>"108/10/21"</f>
        <v>108/10/21</v>
      </c>
      <c r="E351" t="str">
        <f>"2019/10/9 上午 12:00:00"</f>
        <v>2019/10/9 上午 12:00:00</v>
      </c>
      <c r="F351" t="s">
        <v>7</v>
      </c>
    </row>
    <row r="352" spans="1:6" ht="16.5">
      <c r="A352" t="str">
        <f>"AA007141562"</f>
        <v>AA007141562</v>
      </c>
      <c r="B352" t="str">
        <f>"合申建設-柳營3戶住宅新建工程"</f>
        <v>合申建設-柳營3戶住宅新建工程</v>
      </c>
      <c r="C352" t="str">
        <f>"(107)南工造字第03115~03117號"</f>
        <v>(107)南工造字第03115~03117號</v>
      </c>
      <c r="D352" t="str">
        <f>"108/10/03"</f>
        <v>108/10/03</v>
      </c>
      <c r="E352" t="str">
        <f>"2019/10/3 上午 12:00:00"</f>
        <v>2019/10/3 上午 12:00:00</v>
      </c>
      <c r="F352" t="str">
        <f>"A1"</f>
        <v>A1</v>
      </c>
    </row>
    <row r="353" spans="1:6" ht="16.5">
      <c r="A353" t="str">
        <f>"AA007142036"</f>
        <v>AA007142036</v>
      </c>
      <c r="B353" t="str">
        <f>"仁武區金鼎段透天新建案"</f>
        <v>仁武區金鼎段透天新建案</v>
      </c>
      <c r="C353" t="str">
        <f>"(107)高市工建築字第01936號"</f>
        <v>(107)高市工建築字第01936號</v>
      </c>
      <c r="D353" t="str">
        <f>"108/10/23"</f>
        <v>108/10/23</v>
      </c>
      <c r="E353" t="str">
        <f>"2019/10/15 上午 12:00:00"</f>
        <v>2019/10/15 上午 12:00:00</v>
      </c>
      <c r="F353" t="str">
        <f>"A1"</f>
        <v>A1</v>
      </c>
    </row>
    <row r="354" spans="1:6" ht="16.5">
      <c r="A354" t="str">
        <f>"AA007142395"</f>
        <v>AA007142395</v>
      </c>
      <c r="B354" t="str">
        <f>"B1 巫有捷店鋪新建工程"</f>
        <v>B1 巫有捷店鋪新建工程</v>
      </c>
      <c r="C354" t="str">
        <f>"107中都建字第02032號"</f>
        <v>107中都建字第02032號</v>
      </c>
      <c r="D354" t="str">
        <f>"108/10/29"</f>
        <v>108/10/29</v>
      </c>
      <c r="E354" t="str">
        <f>"2019/10/28 上午 12:00:00"</f>
        <v>2019/10/28 上午 12:00:00</v>
      </c>
      <c r="F354" t="str">
        <f>"B1"</f>
        <v>B1</v>
      </c>
    </row>
    <row r="355" spans="1:6" ht="16.5">
      <c r="A355" t="str">
        <f>"AA007142438"</f>
        <v>AA007142438</v>
      </c>
      <c r="B355" t="str">
        <f>"李秀玲住宅"</f>
        <v>李秀玲住宅</v>
      </c>
      <c r="C355" t="str">
        <f>"(107)南工造字第03795號"</f>
        <v>(107)南工造字第03795號</v>
      </c>
      <c r="D355" t="str">
        <f>"108/10/14"</f>
        <v>108/10/14</v>
      </c>
      <c r="E355" t="str">
        <f>"2019/10/14 上午 12:00:00"</f>
        <v>2019/10/14 上午 12:00:00</v>
      </c>
      <c r="F355" t="str">
        <f>"A1"</f>
        <v>A1</v>
      </c>
    </row>
    <row r="356" spans="1:6" ht="16.5">
      <c r="A356" t="str">
        <f>"AA007142755"</f>
        <v>AA007142755</v>
      </c>
      <c r="B356" t="str">
        <f>"山冠興業(股)公司-廠房新建工程"</f>
        <v>山冠興業(股)公司-廠房新建工程</v>
      </c>
      <c r="C356" t="str">
        <f>"(107)(雲)營建字第00969號"</f>
        <v>(107)(雲)營建字第00969號</v>
      </c>
      <c r="D356" t="str">
        <f>"108/10/08"</f>
        <v>108/10/08</v>
      </c>
      <c r="E356" t="str">
        <f>"2019/10/8 上午 12:00:00"</f>
        <v>2019/10/8 上午 12:00:00</v>
      </c>
      <c r="F356" t="str">
        <f>"C1"</f>
        <v>C1</v>
      </c>
    </row>
    <row r="357" spans="1:6" ht="16.5">
      <c r="A357" t="str">
        <f>"AA007143292"</f>
        <v>AA007143292</v>
      </c>
      <c r="B357" t="str">
        <f>"英崴建設新建工程"</f>
        <v>英崴建設新建工程</v>
      </c>
      <c r="C357" t="str">
        <f>"(107)桃市都建執照字第會蘆00973號"</f>
        <v>(107)桃市都建執照字第會蘆00973號</v>
      </c>
      <c r="D357" t="str">
        <f>"108/10/22"</f>
        <v>108/10/22</v>
      </c>
      <c r="E357" t="str">
        <f>"2019/10/22 上午 12:00:00"</f>
        <v>2019/10/22 上午 12:00:00</v>
      </c>
      <c r="F357" t="str">
        <f>"A1"</f>
        <v>A1</v>
      </c>
    </row>
    <row r="358" spans="1:6" ht="16.5">
      <c r="A358" t="str">
        <f>"AA007143803"</f>
        <v>AA007143803</v>
      </c>
      <c r="B358" t="str">
        <f>"A1-吳榮原住宅新建工程"</f>
        <v>A1-吳榮原住宅新建工程</v>
      </c>
      <c r="C358" t="str">
        <f>"A107嘉市府都建執字第000156號"</f>
        <v>A107嘉市府都建執字第000156號</v>
      </c>
      <c r="D358" t="str">
        <f>"108/10/24"</f>
        <v>108/10/24</v>
      </c>
      <c r="E358" t="str">
        <f>"2019/10/24 上午 12:00:00"</f>
        <v>2019/10/24 上午 12:00:00</v>
      </c>
      <c r="F358" t="str">
        <f>"A1"</f>
        <v>A1</v>
      </c>
    </row>
    <row r="359" spans="1:6" ht="16.5">
      <c r="A359" t="str">
        <f>"AA007144173"</f>
        <v>AA007144173</v>
      </c>
      <c r="B359" t="str">
        <f>"國亨建設(3FX8戶+4Fx1戶)住宅"</f>
        <v>國亨建設(3FX8戶+4Fx1戶)住宅</v>
      </c>
      <c r="C359" t="str">
        <f>"(107)南工造字第04011~04019號"</f>
        <v>(107)南工造字第04011~04019號</v>
      </c>
      <c r="D359" t="str">
        <f>"108/10/29"</f>
        <v>108/10/29</v>
      </c>
      <c r="E359" t="str">
        <f>"2019/10/29 上午 12:00:00"</f>
        <v>2019/10/29 上午 12:00:00</v>
      </c>
      <c r="F359" t="str">
        <f>"A1"</f>
        <v>A1</v>
      </c>
    </row>
    <row r="360" spans="1:6" ht="16.5">
      <c r="A360" t="str">
        <f>"AA007145234"</f>
        <v>AA007145234</v>
      </c>
      <c r="B360" t="str">
        <f>"旭唐建設有限公司 集合住宅新建工程"</f>
        <v>旭唐建設有限公司 集合住宅新建工程</v>
      </c>
      <c r="C360" t="str">
        <f>"(107)府都建字第00270號"</f>
        <v>(107)府都建字第00270號</v>
      </c>
      <c r="D360" t="str">
        <f>"108/10/21"</f>
        <v>108/10/21</v>
      </c>
      <c r="E360" t="str">
        <f>"2019/10/7 上午 12:00:00"</f>
        <v>2019/10/7 上午 12:00:00</v>
      </c>
      <c r="F360" t="s">
        <v>9</v>
      </c>
    </row>
    <row r="361" spans="1:6" ht="16.5">
      <c r="A361" t="str">
        <f>"AA007145414"</f>
        <v>AA007145414</v>
      </c>
      <c r="B361" t="str">
        <f>"新世紀物流(股)公司-廠房新建工程"</f>
        <v>新世紀物流(股)公司-廠房新建工程</v>
      </c>
      <c r="C361" t="str">
        <f>"(107)(雲)營建字第01084號"</f>
        <v>(107)(雲)營建字第01084號</v>
      </c>
      <c r="D361" t="str">
        <f>"108/10/21"</f>
        <v>108/10/21</v>
      </c>
      <c r="E361" t="str">
        <f>"2019/10/21 上午 12:00:00"</f>
        <v>2019/10/21 上午 12:00:00</v>
      </c>
      <c r="F361" t="str">
        <f>"C1"</f>
        <v>C1</v>
      </c>
    </row>
    <row r="362" spans="1:6" ht="16.5">
      <c r="A362" t="str">
        <f>"AA007146263"</f>
        <v>AA007146263</v>
      </c>
      <c r="B362" t="str">
        <f>"成綸企業(3Fx1戶)廠房"</f>
        <v>成綸企業(3Fx1戶)廠房</v>
      </c>
      <c r="C362" t="str">
        <f>"(107)南工造字第04212號"</f>
        <v>(107)南工造字第04212號</v>
      </c>
      <c r="D362" t="str">
        <f>"108/10/19"</f>
        <v>108/10/19</v>
      </c>
      <c r="E362" t="str">
        <f>"2019/10/18 上午 12:00:00"</f>
        <v>2019/10/18 上午 12:00:00</v>
      </c>
      <c r="F362" t="str">
        <f>"C1"</f>
        <v>C1</v>
      </c>
    </row>
    <row r="363" spans="1:6" ht="16.5">
      <c r="A363" t="str">
        <f>"AA007146450"</f>
        <v>AA007146450</v>
      </c>
      <c r="B363" t="str">
        <f>"微風建設股份有限公司 負責人：林資薇(4Fx3戶)住宅"</f>
        <v>微風建設股份有限公司 負責人：林資薇(4Fx3戶)住宅</v>
      </c>
      <c r="C363" t="str">
        <f>"(107)南工造字第03998號~04000號"</f>
        <v>(107)南工造字第03998號~04000號</v>
      </c>
      <c r="D363" t="str">
        <f>"108/10/24"</f>
        <v>108/10/24</v>
      </c>
      <c r="E363" t="str">
        <f>"2019/10/16 上午 12:00:00"</f>
        <v>2019/10/16 上午 12:00:00</v>
      </c>
      <c r="F363" t="s">
        <v>7</v>
      </c>
    </row>
    <row r="364" spans="1:6" ht="16.5">
      <c r="A364" t="str">
        <f>"AA007146885"</f>
        <v>AA007146885</v>
      </c>
      <c r="B364" t="str">
        <f>"富煜建設開發有限公司 負責人張玉芳(4Fx4戶)住宅"</f>
        <v>富煜建設開發有限公司 負責人張玉芳(4Fx4戶)住宅</v>
      </c>
      <c r="C364" t="str">
        <f>"(107)南工造字第04060~04063號"</f>
        <v>(107)南工造字第04060~04063號</v>
      </c>
      <c r="D364" t="str">
        <f>"108/10/22"</f>
        <v>108/10/22</v>
      </c>
      <c r="E364" t="str">
        <f>"2019/10/22 上午 12:00:00"</f>
        <v>2019/10/22 上午 12:00:00</v>
      </c>
      <c r="F364" t="str">
        <f>"A1"</f>
        <v>A1</v>
      </c>
    </row>
    <row r="365" spans="1:6" ht="16.5">
      <c r="A365" t="str">
        <f>"AA007146998"</f>
        <v>AA007146998</v>
      </c>
      <c r="B365" t="str">
        <f>"E1-宇榮高爾夫科技股份有限公司雲科廠房新建工程"</f>
        <v>E1-宇榮高爾夫科技股份有限公司雲科廠房新建工程</v>
      </c>
      <c r="C365" t="str">
        <f>"(107)(雲)營建字第01045號"</f>
        <v>(107)(雲)營建字第01045號</v>
      </c>
      <c r="D365" t="str">
        <f>"108/10/22"</f>
        <v>108/10/22</v>
      </c>
      <c r="E365" t="str">
        <f>"2019/10/22 上午 12:00:00"</f>
        <v>2019/10/22 上午 12:00:00</v>
      </c>
      <c r="F365" t="str">
        <f>"E1"</f>
        <v>E1</v>
      </c>
    </row>
    <row r="366" spans="1:6" ht="16.5">
      <c r="A366" t="str">
        <f>"AA007147630"</f>
        <v>AA007147630</v>
      </c>
      <c r="B366" t="str">
        <f>"敦臨建設有限公司8戶住宅新建工程"</f>
        <v>敦臨建設有限公司8戶住宅新建工程</v>
      </c>
      <c r="C366" t="str">
        <f>"(107）南工造字第04079~04086號"</f>
        <v>(107）南工造字第04079~04086號</v>
      </c>
      <c r="D366" t="str">
        <f>"108/10/15"</f>
        <v>108/10/15</v>
      </c>
      <c r="E366" t="str">
        <f>"2019/10/15 上午 12:00:00"</f>
        <v>2019/10/15 上午 12:00:00</v>
      </c>
      <c r="F366" t="str">
        <f aca="true" t="shared" si="4" ref="F366:F371">"A1"</f>
        <v>A1</v>
      </c>
    </row>
    <row r="367" spans="1:6" ht="16.5">
      <c r="A367" t="str">
        <f>"AA007147981"</f>
        <v>AA007147981</v>
      </c>
      <c r="B367" t="str">
        <f>"A1-林宜俊等店舖住宅新建工程"</f>
        <v>A1-林宜俊等店舖住宅新建工程</v>
      </c>
      <c r="C367" t="str">
        <f>"107嘉市府都建執字第0453號"</f>
        <v>107嘉市府都建執字第0453號</v>
      </c>
      <c r="D367" t="str">
        <f>"108/10/05"</f>
        <v>108/10/05</v>
      </c>
      <c r="E367" t="str">
        <f>"2019/10/5 上午 12:00:00"</f>
        <v>2019/10/5 上午 12:00:00</v>
      </c>
      <c r="F367" t="str">
        <f t="shared" si="4"/>
        <v>A1</v>
      </c>
    </row>
    <row r="368" spans="1:6" ht="16.5">
      <c r="A368" t="str">
        <f>"AA007148209"</f>
        <v>AA007148209</v>
      </c>
      <c r="B368" t="str">
        <f>"鍾清山住宅新建工程"</f>
        <v>鍾清山住宅新建工程</v>
      </c>
      <c r="C368" t="str">
        <f>"(107)崙鄉營建字第00071號"</f>
        <v>(107)崙鄉營建字第00071號</v>
      </c>
      <c r="D368" t="str">
        <f>"108/10/14"</f>
        <v>108/10/14</v>
      </c>
      <c r="E368" t="str">
        <f>"2019/10/14 上午 12:00:00"</f>
        <v>2019/10/14 上午 12:00:00</v>
      </c>
      <c r="F368" t="str">
        <f t="shared" si="4"/>
        <v>A1</v>
      </c>
    </row>
    <row r="369" spans="1:6" ht="16.5">
      <c r="A369" t="str">
        <f>"AA007148935"</f>
        <v>AA007148935</v>
      </c>
      <c r="B369" t="str">
        <f>"富盛昌建設開發有限公司負責人：王程信(3Fx8戶)住宅"</f>
        <v>富盛昌建設開發有限公司負責人：王程信(3Fx8戶)住宅</v>
      </c>
      <c r="C369" t="str">
        <f>"(107)南工造字第04136~04143號"</f>
        <v>(107)南工造字第04136~04143號</v>
      </c>
      <c r="D369" t="str">
        <f>"108/10/16"</f>
        <v>108/10/16</v>
      </c>
      <c r="E369" t="str">
        <f>"2019/10/9 上午 12:00:00"</f>
        <v>2019/10/9 上午 12:00:00</v>
      </c>
      <c r="F369" t="str">
        <f t="shared" si="4"/>
        <v>A1</v>
      </c>
    </row>
    <row r="370" spans="1:6" ht="16.5">
      <c r="A370" t="str">
        <f>"AA007148953"</f>
        <v>AA007148953</v>
      </c>
      <c r="B370" t="str">
        <f>"五十建設開發有限公司負責人：王程信(4Fx11戶)住宅"</f>
        <v>五十建設開發有限公司負責人：王程信(4Fx11戶)住宅</v>
      </c>
      <c r="C370" t="str">
        <f>"(107)南工造字第04144~04154號"</f>
        <v>(107)南工造字第04144~04154號</v>
      </c>
      <c r="D370" t="str">
        <f>"108/10/16"</f>
        <v>108/10/16</v>
      </c>
      <c r="E370" t="str">
        <f>"2019/10/9 上午 12:00:00"</f>
        <v>2019/10/9 上午 12:00:00</v>
      </c>
      <c r="F370" t="str">
        <f t="shared" si="4"/>
        <v>A1</v>
      </c>
    </row>
    <row r="371" spans="1:6" ht="16.5">
      <c r="A371" t="str">
        <f>"AA007149190"</f>
        <v>AA007149190</v>
      </c>
      <c r="B371" t="str">
        <f>"郭漢文住宅新建工程"</f>
        <v>郭漢文住宅新建工程</v>
      </c>
      <c r="C371" t="str">
        <f>"(107)南工造字第04248號"</f>
        <v>(107)南工造字第04248號</v>
      </c>
      <c r="D371" t="str">
        <f>"108/10/28"</f>
        <v>108/10/28</v>
      </c>
      <c r="E371" t="str">
        <f>"2019/10/28 上午 12:00:00"</f>
        <v>2019/10/28 上午 12:00:00</v>
      </c>
      <c r="F371" t="str">
        <f t="shared" si="4"/>
        <v>A1</v>
      </c>
    </row>
    <row r="372" spans="1:6" ht="16.5">
      <c r="A372" t="str">
        <f>"AA007149713"</f>
        <v>AA007149713</v>
      </c>
      <c r="B372" t="str">
        <f>"B1-雲林縣斗六市黃厝段306地號等6筆六戶住宅新建工程"</f>
        <v>B1-雲林縣斗六市黃厝段306地號等6筆六戶住宅新建工程</v>
      </c>
      <c r="C372" t="str">
        <f>"(107)(雲)營建字第01090號"</f>
        <v>(107)(雲)營建字第01090號</v>
      </c>
      <c r="D372" t="str">
        <f>"108/10/02"</f>
        <v>108/10/02</v>
      </c>
      <c r="E372" t="str">
        <f>"2019/10/2 上午 12:00:00"</f>
        <v>2019/10/2 上午 12:00:00</v>
      </c>
      <c r="F372" t="str">
        <f>"B1"</f>
        <v>B1</v>
      </c>
    </row>
    <row r="373" spans="1:6" ht="16.5">
      <c r="A373" t="str">
        <f>"AA007150078"</f>
        <v>AA007150078</v>
      </c>
      <c r="B373" t="str">
        <f>"春潤投資(3FX29戶)住宅"</f>
        <v>春潤投資(3FX29戶)住宅</v>
      </c>
      <c r="C373" t="str">
        <f>"(107)南工造字第04155~04167號"</f>
        <v>(107)南工造字第04155~04167號</v>
      </c>
      <c r="D373" t="str">
        <f>"108/10/30"</f>
        <v>108/10/30</v>
      </c>
      <c r="E373" t="str">
        <f>"2019/10/29 上午 12:00:00"</f>
        <v>2019/10/29 上午 12:00:00</v>
      </c>
      <c r="F373" t="s">
        <v>8</v>
      </c>
    </row>
    <row r="374" spans="1:6" ht="16.5">
      <c r="A374" t="str">
        <f>"AA007150348"</f>
        <v>AA007150348</v>
      </c>
      <c r="B374" t="str">
        <f>"峻源建設有限公司住宅新建工程"</f>
        <v>峻源建設有限公司住宅新建工程</v>
      </c>
      <c r="C374" t="str">
        <f>"(107)(麥)鄉營建字第87~95號"</f>
        <v>(107)(麥)鄉營建字第87~95號</v>
      </c>
      <c r="D374" t="str">
        <f>"108/10/14"</f>
        <v>108/10/14</v>
      </c>
      <c r="E374" t="str">
        <f>"2019/10/14 上午 12:00:00"</f>
        <v>2019/10/14 上午 12:00:00</v>
      </c>
      <c r="F374" t="str">
        <f>"A1"</f>
        <v>A1</v>
      </c>
    </row>
    <row r="375" spans="1:6" ht="16.5">
      <c r="A375" t="str">
        <f>"AA007150730"</f>
        <v>AA007150730</v>
      </c>
      <c r="B375" t="str">
        <f>"大川泵浦企業股份有限公司廠房興建工程"</f>
        <v>大川泵浦企業股份有限公司廠房興建工程</v>
      </c>
      <c r="C375" t="str">
        <f>"107.9.20建管建字第00604號"</f>
        <v>107.9.20建管建字第00604號</v>
      </c>
      <c r="D375" t="str">
        <f>"108/10/30"</f>
        <v>108/10/30</v>
      </c>
      <c r="E375" t="str">
        <f>"2019/10/18 上午 12:00:00"</f>
        <v>2019/10/18 上午 12:00:00</v>
      </c>
      <c r="F375" t="str">
        <f>"C1"</f>
        <v>C1</v>
      </c>
    </row>
    <row r="376" spans="1:6" ht="16.5">
      <c r="A376" t="str">
        <f>"AA007152270"</f>
        <v>AA007152270</v>
      </c>
      <c r="B376" t="str">
        <f>"梁維權住宅新建工程"</f>
        <v>梁維權住宅新建工程</v>
      </c>
      <c r="C376" t="str">
        <f>"(107)南工造字第04321號"</f>
        <v>(107)南工造字第04321號</v>
      </c>
      <c r="D376" t="str">
        <f>"108/10/30"</f>
        <v>108/10/30</v>
      </c>
      <c r="E376" t="str">
        <f>"2019/10/30 上午 12:00:00"</f>
        <v>2019/10/30 上午 12:00:00</v>
      </c>
      <c r="F376" t="str">
        <f>"A1"</f>
        <v>A1</v>
      </c>
    </row>
    <row r="377" spans="1:6" ht="16.5">
      <c r="A377" t="str">
        <f>"AA007152518"</f>
        <v>AA007152518</v>
      </c>
      <c r="B377" t="str">
        <f>"佛美建設有限公司-住宅新建工程"</f>
        <v>佛美建設有限公司-住宅新建工程</v>
      </c>
      <c r="C377" t="str">
        <f>"(107)(雲)營建字第01129~01133號"</f>
        <v>(107)(雲)營建字第01129~01133號</v>
      </c>
      <c r="D377" t="str">
        <f>"108/10/19"</f>
        <v>108/10/19</v>
      </c>
      <c r="E377" t="str">
        <f>"2019/10/18 上午 12:00:00"</f>
        <v>2019/10/18 上午 12:00:00</v>
      </c>
      <c r="F377" t="str">
        <f>"A1"</f>
        <v>A1</v>
      </c>
    </row>
    <row r="378" spans="1:6" ht="16.5">
      <c r="A378" t="str">
        <f>"AA007152618"</f>
        <v>AA007152618</v>
      </c>
      <c r="B378" t="str">
        <f>"松川精密嘉義廠新建工程"</f>
        <v>松川精密嘉義廠新建工程</v>
      </c>
      <c r="C378" t="str">
        <f>"(107)嘉府經管執字第00130號"</f>
        <v>(107)嘉府經管執字第00130號</v>
      </c>
      <c r="D378" t="str">
        <f>"108/10/22"</f>
        <v>108/10/22</v>
      </c>
      <c r="E378" t="str">
        <f>"2019/10/22 上午 12:00:00"</f>
        <v>2019/10/22 上午 12:00:00</v>
      </c>
      <c r="F378" t="s">
        <v>12</v>
      </c>
    </row>
    <row r="379" spans="1:6" ht="16.5">
      <c r="A379" t="str">
        <f>"AA007152699"</f>
        <v>AA007152699</v>
      </c>
      <c r="B379" t="str">
        <f>"曹美容住宅 新建工程"</f>
        <v>曹美容住宅 新建工程</v>
      </c>
      <c r="C379" t="str">
        <f>"(107)高市工建築字第01913號"</f>
        <v>(107)高市工建築字第01913號</v>
      </c>
      <c r="D379" t="str">
        <f>"108/10/30"</f>
        <v>108/10/30</v>
      </c>
      <c r="E379" t="str">
        <f>"2019/10/29 上午 12:00:00"</f>
        <v>2019/10/29 上午 12:00:00</v>
      </c>
      <c r="F379" t="str">
        <f aca="true" t="shared" si="5" ref="F379:F386">"A1"</f>
        <v>A1</v>
      </c>
    </row>
    <row r="380" spans="1:6" ht="16.5">
      <c r="A380" t="str">
        <f>"AA007153428"</f>
        <v>AA007153428</v>
      </c>
      <c r="B380" t="str">
        <f>"力漢建設開發股份有限公司"</f>
        <v>力漢建設開發股份有限公司</v>
      </c>
      <c r="C380" t="str">
        <f>"(107)南工造字第04281~04296號"</f>
        <v>(107)南工造字第04281~04296號</v>
      </c>
      <c r="D380" t="str">
        <f>"108/10/30"</f>
        <v>108/10/30</v>
      </c>
      <c r="E380" t="str">
        <f>"2019/10/30 上午 12:00:00"</f>
        <v>2019/10/30 上午 12:00:00</v>
      </c>
      <c r="F380" t="str">
        <f t="shared" si="5"/>
        <v>A1</v>
      </c>
    </row>
    <row r="381" spans="1:6" ht="16.5">
      <c r="A381" t="str">
        <f>"AA007153485"</f>
        <v>AA007153485</v>
      </c>
      <c r="B381" t="str">
        <f>"許耿福住宅新建工程"</f>
        <v>許耿福住宅新建工程</v>
      </c>
      <c r="C381" t="str">
        <f>"(107)南工造字第04297號"</f>
        <v>(107)南工造字第04297號</v>
      </c>
      <c r="D381" t="str">
        <f>"108/10/28"</f>
        <v>108/10/28</v>
      </c>
      <c r="E381" t="str">
        <f>"2019/10/28 上午 12:00:00"</f>
        <v>2019/10/28 上午 12:00:00</v>
      </c>
      <c r="F381" t="str">
        <f t="shared" si="5"/>
        <v>A1</v>
      </c>
    </row>
    <row r="382" spans="1:6" ht="16.5">
      <c r="A382" t="str">
        <f>"AA007153810"</f>
        <v>AA007153810</v>
      </c>
      <c r="B382" t="str">
        <f>"A1-光祿營造股份有限公司光明段三戶住宅新建工程"</f>
        <v>A1-光祿營造股份有限公司光明段三戶住宅新建工程</v>
      </c>
      <c r="C382" t="str">
        <f>"107(雲)營建字第1067~1069號"</f>
        <v>107(雲)營建字第1067~1069號</v>
      </c>
      <c r="D382" t="str">
        <f>"108/10/28"</f>
        <v>108/10/28</v>
      </c>
      <c r="E382" t="str">
        <f>"2019/10/24 上午 12:00:00"</f>
        <v>2019/10/24 上午 12:00:00</v>
      </c>
      <c r="F382" t="str">
        <f t="shared" si="5"/>
        <v>A1</v>
      </c>
    </row>
    <row r="383" spans="1:6" ht="16.5">
      <c r="A383" t="str">
        <f>"AA007153845"</f>
        <v>AA007153845</v>
      </c>
      <c r="B383" t="str">
        <f>"A1-安本建設股份有限公司光明段二戶住宅新建工程"</f>
        <v>A1-安本建設股份有限公司光明段二戶住宅新建工程</v>
      </c>
      <c r="C383" t="str">
        <f>"107雲營建字第1065.1066號"</f>
        <v>107雲營建字第1065.1066號</v>
      </c>
      <c r="D383" t="str">
        <f>"108/10/28"</f>
        <v>108/10/28</v>
      </c>
      <c r="E383" t="str">
        <f>"2019/10/24 上午 12:00:00"</f>
        <v>2019/10/24 上午 12:00:00</v>
      </c>
      <c r="F383" t="str">
        <f t="shared" si="5"/>
        <v>A1</v>
      </c>
    </row>
    <row r="384" spans="1:6" ht="16.5">
      <c r="A384" t="str">
        <f>"AA007155248"</f>
        <v>AA007155248</v>
      </c>
      <c r="B384" t="str">
        <f>"A1 陳莉莉住宅新建工程"</f>
        <v>A1 陳莉莉住宅新建工程</v>
      </c>
      <c r="C384" t="str">
        <f>"(107)府建管(建)字第0336397號"</f>
        <v>(107)府建管(建)字第0336397號</v>
      </c>
      <c r="D384" t="str">
        <f>"108/10/07"</f>
        <v>108/10/07</v>
      </c>
      <c r="E384" t="str">
        <f>"2019/10/7 上午 12:00:00"</f>
        <v>2019/10/7 上午 12:00:00</v>
      </c>
      <c r="F384" t="str">
        <f t="shared" si="5"/>
        <v>A1</v>
      </c>
    </row>
    <row r="385" spans="1:6" ht="16.5">
      <c r="A385" t="str">
        <f>"AA007155528"</f>
        <v>AA007155528</v>
      </c>
      <c r="B385" t="str">
        <f>"A1 林珀誠住宅新建工程"</f>
        <v>A1 林珀誠住宅新建工程</v>
      </c>
      <c r="C385" t="str">
        <f>"(107)和鎮建字第0020964號"</f>
        <v>(107)和鎮建字第0020964號</v>
      </c>
      <c r="D385" t="str">
        <f>"108/10/22"</f>
        <v>108/10/22</v>
      </c>
      <c r="E385" t="str">
        <f>"2019/10/22 上午 12:00:00"</f>
        <v>2019/10/22 上午 12:00:00</v>
      </c>
      <c r="F385" t="str">
        <f t="shared" si="5"/>
        <v>A1</v>
      </c>
    </row>
    <row r="386" spans="1:6" ht="16.5">
      <c r="A386" t="str">
        <f>"AA007155618"</f>
        <v>AA007155618</v>
      </c>
      <c r="B386" t="str">
        <f>"寶達發開發科技有限公司 代表人:黃娟娟(3Fx13戶)住宅"</f>
        <v>寶達發開發科技有限公司 代表人:黃娟娟(3Fx13戶)住宅</v>
      </c>
      <c r="C386" t="str">
        <f>"(107)南工造字第04172~04184號"</f>
        <v>(107)南工造字第04172~04184號</v>
      </c>
      <c r="D386" t="str">
        <f>"108/10/31"</f>
        <v>108/10/31</v>
      </c>
      <c r="E386" t="str">
        <f>"2019/10/31 上午 12:00:00"</f>
        <v>2019/10/31 上午 12:00:00</v>
      </c>
      <c r="F386" t="str">
        <f t="shared" si="5"/>
        <v>A1</v>
      </c>
    </row>
    <row r="387" spans="1:6" ht="16.5">
      <c r="A387" t="str">
        <f>"AA007156562"</f>
        <v>AA007156562</v>
      </c>
      <c r="B387" t="str">
        <f>"嘉義縣阿里山鄉樂野村文化聚會所新建工程"</f>
        <v>嘉義縣阿里山鄉樂野村文化聚會所新建工程</v>
      </c>
      <c r="C387" t="str">
        <f>"(107)嘉府經管執字第00096號"</f>
        <v>(107)嘉府經管執字第00096號</v>
      </c>
      <c r="D387" t="str">
        <f>"108/10/04"</f>
        <v>108/10/04</v>
      </c>
      <c r="E387" t="str">
        <f>"2019/10/2 上午 12:00:00"</f>
        <v>2019/10/2 上午 12:00:00</v>
      </c>
      <c r="F387" t="s">
        <v>13</v>
      </c>
    </row>
    <row r="388" spans="1:6" ht="16.5">
      <c r="A388" t="str">
        <f>"AA007158311"</f>
        <v>AA007158311</v>
      </c>
      <c r="B388" t="str">
        <f>"陳顏琪(2Fx1戶)住宅、辦公室 新建工程"</f>
        <v>陳顏琪(2Fx1戶)住宅、辦公室 新建工程</v>
      </c>
      <c r="C388" t="str">
        <f>"(107)南工造字第04450號"</f>
        <v>(107)南工造字第04450號</v>
      </c>
      <c r="D388" t="str">
        <f>"108/10/04"</f>
        <v>108/10/04</v>
      </c>
      <c r="E388" t="str">
        <f>"2019/10/4 上午 12:00:00"</f>
        <v>2019/10/4 上午 12:00:00</v>
      </c>
      <c r="F388" t="str">
        <f>"B1"</f>
        <v>B1</v>
      </c>
    </row>
    <row r="389" spans="1:6" ht="16.5">
      <c r="A389" t="str">
        <f>"AA007158630"</f>
        <v>AA007158630</v>
      </c>
      <c r="B389" t="str">
        <f>"許保源住宅"</f>
        <v>許保源住宅</v>
      </c>
      <c r="C389" t="str">
        <f>"(107)南工造字第04487號"</f>
        <v>(107)南工造字第04487號</v>
      </c>
      <c r="D389" t="str">
        <f>"108/10/22"</f>
        <v>108/10/22</v>
      </c>
      <c r="E389" t="str">
        <f>"2019/10/22 上午 12:00:00"</f>
        <v>2019/10/22 上午 12:00:00</v>
      </c>
      <c r="F389" t="str">
        <f>"A1"</f>
        <v>A1</v>
      </c>
    </row>
    <row r="390" spans="1:6" ht="16.5">
      <c r="A390" t="str">
        <f>"AA007159131"</f>
        <v>AA007159131</v>
      </c>
      <c r="B390" t="str">
        <f>"蕭志成4FX1戶住宅新建工程"</f>
        <v>蕭志成4FX1戶住宅新建工程</v>
      </c>
      <c r="C390" t="str">
        <f>"(107)南工造字第04521號"</f>
        <v>(107)南工造字第04521號</v>
      </c>
      <c r="D390" t="str">
        <f>"108/10/28"</f>
        <v>108/10/28</v>
      </c>
      <c r="E390" t="str">
        <f>"2019/10/28 上午 12:00:00"</f>
        <v>2019/10/28 上午 12:00:00</v>
      </c>
      <c r="F390" t="str">
        <f>"A1"</f>
        <v>A1</v>
      </c>
    </row>
    <row r="391" spans="1:6" ht="16.5">
      <c r="A391" t="str">
        <f>"AA007159949"</f>
        <v>AA007159949</v>
      </c>
      <c r="B391" t="str">
        <f>"A1 劉春住宅新建工程"</f>
        <v>A1 劉春住宅新建工程</v>
      </c>
      <c r="C391" t="str">
        <f>"107金建字第00054號"</f>
        <v>107金建字第00054號</v>
      </c>
      <c r="D391" t="str">
        <f>"108/10/30"</f>
        <v>108/10/30</v>
      </c>
      <c r="E391" t="str">
        <f>"2019/10/30 上午 12:00:00"</f>
        <v>2019/10/30 上午 12:00:00</v>
      </c>
      <c r="F391" t="s">
        <v>7</v>
      </c>
    </row>
    <row r="392" spans="1:6" ht="16.5">
      <c r="A392" t="str">
        <f>"AA007160528"</f>
        <v>AA007160528</v>
      </c>
      <c r="B392" t="str">
        <f>"A1-千歲建設水上鄉水西段住宅新建工程"</f>
        <v>A1-千歲建設水上鄉水西段住宅新建工程</v>
      </c>
      <c r="C392" t="str">
        <f>"107嘉水鄉建執字第054-068號"</f>
        <v>107嘉水鄉建執字第054-068號</v>
      </c>
      <c r="D392" t="str">
        <f>"108/10/21"</f>
        <v>108/10/21</v>
      </c>
      <c r="E392" t="str">
        <f>"2019/10/14 上午 12:00:00"</f>
        <v>2019/10/14 上午 12:00:00</v>
      </c>
      <c r="F392" t="str">
        <f>"A1"</f>
        <v>A1</v>
      </c>
    </row>
    <row r="393" spans="1:6" ht="16.5">
      <c r="A393" t="str">
        <f>"AA007160773"</f>
        <v>AA007160773</v>
      </c>
      <c r="B393" t="str">
        <f>"麗築建設3戶住宅新建工程"</f>
        <v>麗築建設3戶住宅新建工程</v>
      </c>
      <c r="C393" t="str">
        <f>"(107)高市工建築字第02380~02382號"</f>
        <v>(107)高市工建築字第02380~02382號</v>
      </c>
      <c r="D393" t="str">
        <f>"108/10/24"</f>
        <v>108/10/24</v>
      </c>
      <c r="E393" t="str">
        <f>"2019/10/24 上午 12:00:00"</f>
        <v>2019/10/24 上午 12:00:00</v>
      </c>
      <c r="F393" t="str">
        <f>"A1"</f>
        <v>A1</v>
      </c>
    </row>
    <row r="394" spans="1:6" ht="16.5">
      <c r="A394" t="str">
        <f>"AA007161306"</f>
        <v>AA007161306</v>
      </c>
      <c r="B394" t="str">
        <f>"詠興建設有限公司 負責人何順惠(4Fx5戶)住宅新建工程"</f>
        <v>詠興建設有限公司 負責人何順惠(4Fx5戶)住宅新建工程</v>
      </c>
      <c r="C394" t="str">
        <f>"(107)南工造字第04411~04415號"</f>
        <v>(107)南工造字第04411~04415號</v>
      </c>
      <c r="D394" t="str">
        <f>"108/10/30"</f>
        <v>108/10/30</v>
      </c>
      <c r="E394" t="str">
        <f>"2019/10/30 上午 12:00:00"</f>
        <v>2019/10/30 上午 12:00:00</v>
      </c>
      <c r="F394" t="s">
        <v>7</v>
      </c>
    </row>
    <row r="395" spans="1:6" ht="16.5">
      <c r="A395" t="str">
        <f>"AA007161428"</f>
        <v>AA007161428</v>
      </c>
      <c r="B395" t="str">
        <f>"智發水產有限公司廠房新建工程"</f>
        <v>智發水產有限公司廠房新建工程</v>
      </c>
      <c r="C395" t="str">
        <f>"(107)高市工建築字第02312號"</f>
        <v>(107)高市工建築字第02312號</v>
      </c>
      <c r="D395" t="str">
        <f>"108/10/30"</f>
        <v>108/10/30</v>
      </c>
      <c r="E395" t="str">
        <f>"2019/10/21 上午 12:00:00"</f>
        <v>2019/10/21 上午 12:00:00</v>
      </c>
      <c r="F395" t="str">
        <f>"C1"</f>
        <v>C1</v>
      </c>
    </row>
    <row r="396" spans="1:6" ht="16.5">
      <c r="A396" t="str">
        <f>"AA007161540"</f>
        <v>AA007161540</v>
      </c>
      <c r="B396" t="str">
        <f>"瑋祥機械(4Fx1戶)工廠"</f>
        <v>瑋祥機械(4Fx1戶)工廠</v>
      </c>
      <c r="C396" t="str">
        <f>"(107)南工造字第04536號"</f>
        <v>(107)南工造字第04536號</v>
      </c>
      <c r="D396" t="str">
        <f>"108/10/01"</f>
        <v>108/10/01</v>
      </c>
      <c r="E396" t="str">
        <f>"2019/9/30 上午 12:00:00"</f>
        <v>2019/9/30 上午 12:00:00</v>
      </c>
      <c r="F396" t="s">
        <v>13</v>
      </c>
    </row>
    <row r="397" spans="1:6" ht="16.5">
      <c r="A397" t="str">
        <f>"AA007162438"</f>
        <v>AA007162438</v>
      </c>
      <c r="B397" t="str">
        <f>"誠駿建設有限公司西港區八十四戶店舖住宅新建工程"</f>
        <v>誠駿建設有限公司西港區八十四戶店舖住宅新建工程</v>
      </c>
      <c r="C397" t="str">
        <f>"(107)南工造字第04537~04620號"</f>
        <v>(107)南工造字第04537~04620號</v>
      </c>
      <c r="D397" t="str">
        <f>"108/10/29"</f>
        <v>108/10/29</v>
      </c>
      <c r="E397" t="str">
        <f>"2019/10/29 上午 12:00:00"</f>
        <v>2019/10/29 上午 12:00:00</v>
      </c>
      <c r="F397" t="str">
        <f>"A1"</f>
        <v>A1</v>
      </c>
    </row>
    <row r="398" spans="1:6" ht="16.5">
      <c r="A398" t="str">
        <f>"AA007162810"</f>
        <v>AA007162810</v>
      </c>
      <c r="B398" t="str">
        <f>"林 鎮 嵍 農舍新建工程"</f>
        <v>林 鎮 嵍 農舍新建工程</v>
      </c>
      <c r="C398" t="str">
        <f>"(107)桃市都建執照第會蘆00956號"</f>
        <v>(107)桃市都建執照第會蘆00956號</v>
      </c>
      <c r="D398" t="str">
        <f>"108/10/28"</f>
        <v>108/10/28</v>
      </c>
      <c r="E398" t="str">
        <f>"2019/10/24 上午 12:00:00"</f>
        <v>2019/10/24 上午 12:00:00</v>
      </c>
      <c r="F398" t="str">
        <f>"A1"</f>
        <v>A1</v>
      </c>
    </row>
    <row r="399" spans="1:6" ht="16.5">
      <c r="A399" t="str">
        <f>"AA007162969"</f>
        <v>AA007162969</v>
      </c>
      <c r="B399" t="str">
        <f>"永成加油站企業有限公司(2F×1戶)工程"</f>
        <v>永成加油站企業有限公司(2F×1戶)工程</v>
      </c>
      <c r="C399" t="str">
        <f>"(107)南工造字第00103-01號"</f>
        <v>(107)南工造字第00103-01號</v>
      </c>
      <c r="D399" t="str">
        <f>"108/10/27"</f>
        <v>108/10/27</v>
      </c>
      <c r="E399" t="str">
        <f>"2019/10/22 上午 12:00:00"</f>
        <v>2019/10/22 上午 12:00:00</v>
      </c>
      <c r="F399" t="str">
        <f>"C1"</f>
        <v>C1</v>
      </c>
    </row>
    <row r="400" spans="1:6" ht="16.5">
      <c r="A400" t="str">
        <f>"AA007164168"</f>
        <v>AA007164168</v>
      </c>
      <c r="B400" t="str">
        <f>"張泳仁(1F×1) 住宅"</f>
        <v>張泳仁(1F×1) 住宅</v>
      </c>
      <c r="C400" t="str">
        <f>"(107)南工造字第04236號"</f>
        <v>(107)南工造字第04236號</v>
      </c>
      <c r="D400" t="str">
        <f>"108/10/05"</f>
        <v>108/10/05</v>
      </c>
      <c r="E400" t="str">
        <f>"2019/10/2 上午 12:00:00"</f>
        <v>2019/10/2 上午 12:00:00</v>
      </c>
      <c r="F400" t="str">
        <f>"A1"</f>
        <v>A1</v>
      </c>
    </row>
    <row r="401" spans="1:6" ht="16.5">
      <c r="A401" t="str">
        <f>"AA007164504"</f>
        <v>AA007164504</v>
      </c>
      <c r="B401" t="str">
        <f>"B1 邱秀玲店鋪新建工程"</f>
        <v>B1 邱秀玲店鋪新建工程</v>
      </c>
      <c r="C401" t="str">
        <f>"107中都建字第02422號"</f>
        <v>107中都建字第02422號</v>
      </c>
      <c r="D401" t="str">
        <f>"108/10/28"</f>
        <v>108/10/28</v>
      </c>
      <c r="E401" t="str">
        <f>"2019/10/18 上午 12:00:00"</f>
        <v>2019/10/18 上午 12:00:00</v>
      </c>
      <c r="F401" t="str">
        <f>"B1"</f>
        <v>B1</v>
      </c>
    </row>
    <row r="402" spans="1:6" ht="16.5">
      <c r="A402" t="str">
        <f>"AA007164683"</f>
        <v>AA007164683</v>
      </c>
      <c r="B402" t="str">
        <f>"張文華住宅"</f>
        <v>張文華住宅</v>
      </c>
      <c r="C402" t="str">
        <f>"(107)南工造字第04237號"</f>
        <v>(107)南工造字第04237號</v>
      </c>
      <c r="D402" t="str">
        <f>"108/10/05"</f>
        <v>108/10/05</v>
      </c>
      <c r="E402" t="str">
        <f>"2019/10/5 上午 12:00:00"</f>
        <v>2019/10/5 上午 12:00:00</v>
      </c>
      <c r="F402" t="str">
        <f>"A1"</f>
        <v>A1</v>
      </c>
    </row>
    <row r="403" spans="1:6" ht="16.5">
      <c r="A403" t="str">
        <f>"AA007164922"</f>
        <v>AA007164922</v>
      </c>
      <c r="B403" t="str">
        <f>"許杏如3FX1戶補教、住宅新建工程"</f>
        <v>許杏如3FX1戶補教、住宅新建工程</v>
      </c>
      <c r="C403" t="str">
        <f>"(107)南工造字第03288號"</f>
        <v>(107)南工造字第03288號</v>
      </c>
      <c r="D403" t="str">
        <f>"108/10/28"</f>
        <v>108/10/28</v>
      </c>
      <c r="E403" t="str">
        <f>"2019/10/28 上午 12:00:00"</f>
        <v>2019/10/28 上午 12:00:00</v>
      </c>
      <c r="F403" t="str">
        <f>"B1"</f>
        <v>B1</v>
      </c>
    </row>
    <row r="404" spans="1:6" ht="16.5">
      <c r="A404" t="str">
        <f>"AA007165414"</f>
        <v>AA007165414</v>
      </c>
      <c r="B404" t="str">
        <f>"A1 曾朝徽.曾朝民店鋪新建工程"</f>
        <v>A1 曾朝徽.曾朝民店鋪新建工程</v>
      </c>
      <c r="C404" t="str">
        <f>"(107)(雲)營建字第01231號"</f>
        <v>(107)(雲)營建字第01231號</v>
      </c>
      <c r="D404" t="str">
        <f>"108/10/07"</f>
        <v>108/10/07</v>
      </c>
      <c r="E404" t="str">
        <f>"2019/10/7 上午 12:00:00"</f>
        <v>2019/10/7 上午 12:00:00</v>
      </c>
      <c r="F404" t="str">
        <f>"A1"</f>
        <v>A1</v>
      </c>
    </row>
    <row r="405" spans="1:6" ht="16.5">
      <c r="A405" t="str">
        <f>"AA007167221"</f>
        <v>AA007167221</v>
      </c>
      <c r="B405" t="str">
        <f>"B1 葉彥輝店舖新建工程"</f>
        <v>B1 葉彥輝店舖新建工程</v>
      </c>
      <c r="C405" t="str">
        <f>"(107)府建管(建)字第0370108號 "</f>
        <v>(107)府建管(建)字第0370108號 </v>
      </c>
      <c r="D405" t="str">
        <f>"108/10/01"</f>
        <v>108/10/01</v>
      </c>
      <c r="E405" t="str">
        <f>"2019/10/1 上午 12:00:00"</f>
        <v>2019/10/1 上午 12:00:00</v>
      </c>
      <c r="F405" t="str">
        <f>"B1"</f>
        <v>B1</v>
      </c>
    </row>
    <row r="406" spans="1:6" ht="16.5">
      <c r="A406" t="str">
        <f>"AA007167859"</f>
        <v>AA007167859</v>
      </c>
      <c r="B406" t="str">
        <f>"翔太建設有限公司只報C棟26戶"</f>
        <v>翔太建設有限公司只報C棟26戶</v>
      </c>
      <c r="C406" t="str">
        <f>"(107)南工造字第04374~04399號"</f>
        <v>(107)南工造字第04374~04399號</v>
      </c>
      <c r="D406" t="str">
        <f>"108/10/22"</f>
        <v>108/10/22</v>
      </c>
      <c r="E406" t="str">
        <f>"2019/10/22 上午 12:00:00"</f>
        <v>2019/10/22 上午 12:00:00</v>
      </c>
      <c r="F406" t="str">
        <f>"A1"</f>
        <v>A1</v>
      </c>
    </row>
    <row r="407" spans="1:6" ht="16.5">
      <c r="A407" t="str">
        <f>"AA007168820"</f>
        <v>AA007168820</v>
      </c>
      <c r="B407" t="str">
        <f>"宏名有建設住宅新建工程"</f>
        <v>宏名有建設住宅新建工程</v>
      </c>
      <c r="C407" t="str">
        <f>"(107)高市工建築字第02429~02436"</f>
        <v>(107)高市工建築字第02429~02436</v>
      </c>
      <c r="D407" t="str">
        <f>"108/10/24"</f>
        <v>108/10/24</v>
      </c>
      <c r="E407" t="str">
        <f>"2019/10/24 上午 12:00:00"</f>
        <v>2019/10/24 上午 12:00:00</v>
      </c>
      <c r="F407" t="str">
        <f>"A1"</f>
        <v>A1</v>
      </c>
    </row>
    <row r="408" spans="1:6" ht="16.5">
      <c r="A408" t="str">
        <f>"AA007168832"</f>
        <v>AA007168832</v>
      </c>
      <c r="B408" t="str">
        <f>"C1 詔富有限公司店舖新建工程"</f>
        <v>C1 詔富有限公司店舖新建工程</v>
      </c>
      <c r="C408" t="str">
        <f>"(107)府建管(建)字第0372287號"</f>
        <v>(107)府建管(建)字第0372287號</v>
      </c>
      <c r="D408" t="str">
        <f>"108/10/08"</f>
        <v>108/10/08</v>
      </c>
      <c r="E408" t="str">
        <f>"2019/10/8 上午 12:00:00"</f>
        <v>2019/10/8 上午 12:00:00</v>
      </c>
      <c r="F408" t="str">
        <f>"C1"</f>
        <v>C1</v>
      </c>
    </row>
    <row r="409" spans="1:6" ht="16.5">
      <c r="A409" t="str">
        <f>"AA007169068"</f>
        <v>AA007169068</v>
      </c>
      <c r="B409" t="str">
        <f>"徐美枝住宅新建工程"</f>
        <v>徐美枝住宅新建工程</v>
      </c>
      <c r="C409" t="str">
        <f>"(107)府建字第00523號"</f>
        <v>(107)府建字第00523號</v>
      </c>
      <c r="D409" t="str">
        <f>"108/10/21"</f>
        <v>108/10/21</v>
      </c>
      <c r="E409" t="str">
        <f>"2019/10/7 上午 12:00:00"</f>
        <v>2019/10/7 上午 12:00:00</v>
      </c>
      <c r="F409" t="s">
        <v>7</v>
      </c>
    </row>
    <row r="410" spans="1:6" ht="16.5">
      <c r="A410" t="str">
        <f>"AA007170083"</f>
        <v>AA007170083</v>
      </c>
      <c r="B410" t="str">
        <f>"金弘開發建設集合住宅新建工程"</f>
        <v>金弘開發建設集合住宅新建工程</v>
      </c>
      <c r="C410" t="str">
        <f>"(107)府建字第00544號"</f>
        <v>(107)府建字第00544號</v>
      </c>
      <c r="D410" t="str">
        <f>"108/10/08"</f>
        <v>108/10/08</v>
      </c>
      <c r="E410" t="str">
        <f>"2019/9/28 上午 12:00:00"</f>
        <v>2019/9/28 上午 12:00:00</v>
      </c>
      <c r="F410" t="s">
        <v>9</v>
      </c>
    </row>
    <row r="411" spans="1:6" ht="16.5">
      <c r="A411" t="str">
        <f>"AA007170103"</f>
        <v>AA007170103</v>
      </c>
      <c r="B411" t="str">
        <f>"金弘開發建設集合住宅新建工程"</f>
        <v>金弘開發建設集合住宅新建工程</v>
      </c>
      <c r="C411" t="str">
        <f>"(107)府建字第00543號"</f>
        <v>(107)府建字第00543號</v>
      </c>
      <c r="D411" t="str">
        <f>"108/10/08"</f>
        <v>108/10/08</v>
      </c>
      <c r="E411" t="str">
        <f>"2019/9/28 上午 12:00:00"</f>
        <v>2019/9/28 上午 12:00:00</v>
      </c>
      <c r="F411" t="s">
        <v>9</v>
      </c>
    </row>
    <row r="412" spans="1:6" ht="16.5">
      <c r="A412" t="str">
        <f>"AA007170885"</f>
        <v>AA007170885</v>
      </c>
      <c r="B412" t="str">
        <f>"林芳毅1戶住宅 新建工程"</f>
        <v>林芳毅1戶住宅 新建工程</v>
      </c>
      <c r="C412" t="str">
        <f>"(107)高市工建築字第02384號"</f>
        <v>(107)高市工建築字第02384號</v>
      </c>
      <c r="D412" t="str">
        <f>"108/10/05"</f>
        <v>108/10/05</v>
      </c>
      <c r="E412" t="str">
        <f>"2019/10/3 上午 12:00:00"</f>
        <v>2019/10/3 上午 12:00:00</v>
      </c>
      <c r="F412" t="str">
        <f>"A1"</f>
        <v>A1</v>
      </c>
    </row>
    <row r="413" spans="1:6" ht="16.5">
      <c r="A413" t="str">
        <f>"AA007170922"</f>
        <v>AA007170922</v>
      </c>
      <c r="B413" t="str">
        <f>"C1-碁品企業股份有限公司廠房新建工程"</f>
        <v>C1-碁品企業股份有限公司廠房新建工程</v>
      </c>
      <c r="C413" t="str">
        <f>"(107)(雲)營建字第01251號"</f>
        <v>(107)(雲)營建字第01251號</v>
      </c>
      <c r="D413" t="str">
        <f>"108/10/24"</f>
        <v>108/10/24</v>
      </c>
      <c r="E413" t="str">
        <f>"2019/10/24 上午 12:00:00"</f>
        <v>2019/10/24 上午 12:00:00</v>
      </c>
      <c r="F413" t="str">
        <f>"C1"</f>
        <v>C1</v>
      </c>
    </row>
    <row r="414" spans="1:6" ht="16.5">
      <c r="A414" t="str">
        <f>"AA007170953"</f>
        <v>AA007170953</v>
      </c>
      <c r="B414" t="str">
        <f>"C1 泰湖樓股份有限公司旅館.店舖新建工程"</f>
        <v>C1 泰湖樓股份有限公司旅館.店舖新建工程</v>
      </c>
      <c r="C414" t="str">
        <f>"103投府建管(造)字第00280號"</f>
        <v>103投府建管(造)字第00280號</v>
      </c>
      <c r="D414" t="str">
        <f>"108/10/24"</f>
        <v>108/10/24</v>
      </c>
      <c r="E414" t="str">
        <f>"2019/10/4 上午 12:00:00"</f>
        <v>2019/10/4 上午 12:00:00</v>
      </c>
      <c r="F414" t="str">
        <f>"C1"</f>
        <v>C1</v>
      </c>
    </row>
    <row r="415" spans="1:6" ht="16.5">
      <c r="A415" t="str">
        <f>"AA007171533"</f>
        <v>AA007171533</v>
      </c>
      <c r="B415" t="str">
        <f>"胡益嘉2FX1戶住宅新建工程"</f>
        <v>胡益嘉2FX1戶住宅新建工程</v>
      </c>
      <c r="C415" t="str">
        <f>"(107）南工造字第04703號"</f>
        <v>(107）南工造字第04703號</v>
      </c>
      <c r="D415" t="str">
        <f>"108/10/02"</f>
        <v>108/10/02</v>
      </c>
      <c r="E415" t="str">
        <f>"2019/10/2 上午 12:00:00"</f>
        <v>2019/10/2 上午 12:00:00</v>
      </c>
      <c r="F415" t="str">
        <f>"A1"</f>
        <v>A1</v>
      </c>
    </row>
    <row r="416" spans="1:6" ht="16.5">
      <c r="A416" t="str">
        <f>"AA007171879"</f>
        <v>AA007171879</v>
      </c>
      <c r="B416" t="str">
        <f>"陳方玉 新建住宅"</f>
        <v>陳方玉 新建住宅</v>
      </c>
      <c r="C416" t="str">
        <f>"(107)南工造字第02466-01號"</f>
        <v>(107)南工造字第02466-01號</v>
      </c>
      <c r="D416" t="str">
        <f>"108/10/21"</f>
        <v>108/10/21</v>
      </c>
      <c r="E416" t="str">
        <f>"2019/10/21 上午 12:00:00"</f>
        <v>2019/10/21 上午 12:00:00</v>
      </c>
      <c r="F416" t="str">
        <f>"A1"</f>
        <v>A1</v>
      </c>
    </row>
    <row r="417" spans="1:6" ht="16.5">
      <c r="A417" t="str">
        <f>"AA007174270"</f>
        <v>AA007174270</v>
      </c>
      <c r="B417" t="str">
        <f>"上琳建設  南區 大山段70~70-12地號"</f>
        <v>上琳建設  南區 大山段70~70-12地號</v>
      </c>
      <c r="C417" t="str">
        <f>"(107)南工造字第04906-01~04910-01號"</f>
        <v>(107)南工造字第04906-01~04910-01號</v>
      </c>
      <c r="D417" t="str">
        <f>"108/10/28"</f>
        <v>108/10/28</v>
      </c>
      <c r="E417" t="str">
        <f>"2019/10/28 上午 12:00:00"</f>
        <v>2019/10/28 上午 12:00:00</v>
      </c>
      <c r="F417" t="s">
        <v>23</v>
      </c>
    </row>
    <row r="418" spans="1:6" ht="16.5">
      <c r="A418" t="str">
        <f>"AA007175013"</f>
        <v>AA007175013</v>
      </c>
      <c r="B418" t="str">
        <f>"曾仁弘妙壽段店鋪住宅新建工程(第一次變更設計)"</f>
        <v>曾仁弘妙壽段店鋪住宅新建工程(第一次變更設計)</v>
      </c>
      <c r="C418" t="str">
        <f>"(105)南工造字第02552-01號"</f>
        <v>(105)南工造字第02552-01號</v>
      </c>
      <c r="D418" t="str">
        <f>"108/10/17"</f>
        <v>108/10/17</v>
      </c>
      <c r="E418" t="str">
        <f>"2019/10/15 上午 12:00:00"</f>
        <v>2019/10/15 上午 12:00:00</v>
      </c>
      <c r="F418" t="str">
        <f>"A1"</f>
        <v>A1</v>
      </c>
    </row>
    <row r="419" spans="1:6" ht="16.5">
      <c r="A419" t="str">
        <f>"AA007175131"</f>
        <v>AA007175131</v>
      </c>
      <c r="B419" t="str">
        <f>"僑馥建設經理(股)公司(4Fx2戶)住宅　新建工程"</f>
        <v>僑馥建設經理(股)公司(4Fx2戶)住宅　新建工程</v>
      </c>
      <c r="C419" t="str">
        <f>"(107)南工造字第04852、04853號"</f>
        <v>(107)南工造字第04852、04853號</v>
      </c>
      <c r="D419" t="str">
        <f>"108/10/16"</f>
        <v>108/10/16</v>
      </c>
      <c r="E419" t="str">
        <f>"2019/10/16 上午 12:00:00"</f>
        <v>2019/10/16 上午 12:00:00</v>
      </c>
      <c r="F419" t="str">
        <f>"A1"</f>
        <v>A1</v>
      </c>
    </row>
    <row r="420" spans="1:6" ht="16.5">
      <c r="A420" t="str">
        <f>"AA007176401"</f>
        <v>AA007176401</v>
      </c>
      <c r="B420" t="str">
        <f>"張簡雪屏住宅增建工程"</f>
        <v>張簡雪屏住宅增建工程</v>
      </c>
      <c r="C420" t="str">
        <f>"(107)高市工建築字第02609號"</f>
        <v>(107)高市工建築字第02609號</v>
      </c>
      <c r="D420" t="str">
        <f>"108/10/28"</f>
        <v>108/10/28</v>
      </c>
      <c r="E420" t="str">
        <f>"2019/10/17 上午 12:00:00"</f>
        <v>2019/10/17 上午 12:00:00</v>
      </c>
      <c r="F420" t="str">
        <f>"A1"</f>
        <v>A1</v>
      </c>
    </row>
    <row r="421" spans="1:6" ht="16.5">
      <c r="A421" t="str">
        <f>"AA007177041"</f>
        <v>AA007177041</v>
      </c>
      <c r="B421" t="str">
        <f>"林守山等2名"</f>
        <v>林守山等2名</v>
      </c>
      <c r="C421" t="str">
        <f>"107林建字第號438"</f>
        <v>107林建字第號438</v>
      </c>
      <c r="D421" t="str">
        <f>"108/10/16"</f>
        <v>108/10/16</v>
      </c>
      <c r="E421" t="str">
        <f>"2019/10/7 上午 12:00:00"</f>
        <v>2019/10/7 上午 12:00:00</v>
      </c>
      <c r="F421" t="str">
        <f>"C1"</f>
        <v>C1</v>
      </c>
    </row>
    <row r="422" spans="1:6" ht="16.5">
      <c r="A422" t="str">
        <f>"AA007177504"</f>
        <v>AA007177504</v>
      </c>
      <c r="B422" t="str">
        <f>"郭心玲(4Fx1戶)住宅"</f>
        <v>郭心玲(4Fx1戶)住宅</v>
      </c>
      <c r="C422" t="str">
        <f>"(107)南工造字第04835號"</f>
        <v>(107)南工造字第04835號</v>
      </c>
      <c r="D422" t="str">
        <f>"108/10/19"</f>
        <v>108/10/19</v>
      </c>
      <c r="E422" t="str">
        <f>"2019/10/18 上午 12:00:00"</f>
        <v>2019/10/18 上午 12:00:00</v>
      </c>
      <c r="F422" t="str">
        <f>"A1"</f>
        <v>A1</v>
      </c>
    </row>
    <row r="423" spans="1:6" ht="16.5">
      <c r="A423" t="str">
        <f>"AA007178795"</f>
        <v>AA007178795</v>
      </c>
      <c r="B423" t="str">
        <f>"南君建設有限公司 董事長 郭心玲(4Fx1戶)新建住宅"</f>
        <v>南君建設有限公司 董事長 郭心玲(4Fx1戶)新建住宅</v>
      </c>
      <c r="C423" t="str">
        <f>"(107)南工造字第04949號"</f>
        <v>(107)南工造字第04949號</v>
      </c>
      <c r="D423" t="str">
        <f>"108/10/19"</f>
        <v>108/10/19</v>
      </c>
      <c r="E423" t="str">
        <f>"2019/10/18 上午 12:00:00"</f>
        <v>2019/10/18 上午 12:00:00</v>
      </c>
      <c r="F423" t="str">
        <f>"A1"</f>
        <v>A1</v>
      </c>
    </row>
    <row r="424" spans="1:6" ht="16.5">
      <c r="A424" t="str">
        <f>"AA007178900"</f>
        <v>AA007178900</v>
      </c>
      <c r="B424" t="str">
        <f>"森鉅科技材料股份有限公司(2Fx1) 廠房"</f>
        <v>森鉅科技材料股份有限公司(2Fx1) 廠房</v>
      </c>
      <c r="C424" t="str">
        <f>"(107)南工造字第04964號"</f>
        <v>(107)南工造字第04964號</v>
      </c>
      <c r="D424" t="str">
        <f>"108/10/28"</f>
        <v>108/10/28</v>
      </c>
      <c r="E424" t="str">
        <f>"2019/10/25 上午 12:00:00"</f>
        <v>2019/10/25 上午 12:00:00</v>
      </c>
      <c r="F424" t="str">
        <f>"C1"</f>
        <v>C1</v>
      </c>
    </row>
    <row r="425" spans="1:6" ht="16.5">
      <c r="A425" t="str">
        <f>"AA007180665"</f>
        <v>AA007180665</v>
      </c>
      <c r="B425" t="str">
        <f>"三地開發實業股份有限公司健身中心增建工程"</f>
        <v>三地開發實業股份有限公司健身中心增建工程</v>
      </c>
      <c r="C425" t="str">
        <f>"(107) 南工造字第04778號"</f>
        <v>(107) 南工造字第04778號</v>
      </c>
      <c r="D425" t="str">
        <f>"108/10/01"</f>
        <v>108/10/01</v>
      </c>
      <c r="E425" t="str">
        <f>"2019/9/27 上午 12:00:00"</f>
        <v>2019/9/27 上午 12:00:00</v>
      </c>
      <c r="F425" t="s">
        <v>13</v>
      </c>
    </row>
    <row r="426" spans="1:6" ht="16.5">
      <c r="A426" t="str">
        <f>"AA007181007"</f>
        <v>AA007181007</v>
      </c>
      <c r="B426" t="str">
        <f>"高葉美華新北市淡水區灰磘子段番子田小段三層住宅新建工程"</f>
        <v>高葉美華新北市淡水區灰磘子段番子田小段三層住宅新建工程</v>
      </c>
      <c r="C426" t="str">
        <f>"107淡建字第00415號"</f>
        <v>107淡建字第00415號</v>
      </c>
      <c r="D426" t="str">
        <f>"108/10/22"</f>
        <v>108/10/22</v>
      </c>
      <c r="E426" t="str">
        <f>"2019/10/8 上午 12:00:00"</f>
        <v>2019/10/8 上午 12:00:00</v>
      </c>
      <c r="F426" t="s">
        <v>7</v>
      </c>
    </row>
    <row r="427" spans="1:6" ht="16.5">
      <c r="A427" t="str">
        <f>"AA007182504"</f>
        <v>AA007182504</v>
      </c>
      <c r="B427" t="str">
        <f>"集合住宅新建工程"</f>
        <v>集合住宅新建工程</v>
      </c>
      <c r="C427" t="str">
        <f>"(107)栗商建竹建字第00009號"</f>
        <v>(107)栗商建竹建字第00009號</v>
      </c>
      <c r="D427" t="str">
        <f>"108/10/08"</f>
        <v>108/10/08</v>
      </c>
      <c r="E427" t="str">
        <f>"2019/10/8 上午 12:00:00"</f>
        <v>2019/10/8 上午 12:00:00</v>
      </c>
      <c r="F427" t="s">
        <v>9</v>
      </c>
    </row>
    <row r="428" spans="1:6" ht="16.5">
      <c r="A428" t="str">
        <f>"AA007185280"</f>
        <v>AA007185280</v>
      </c>
      <c r="B428" t="str">
        <f>"黃鳳嬌住宅新建工程"</f>
        <v>黃鳳嬌住宅新建工程</v>
      </c>
      <c r="C428" t="str">
        <f>"(107)南工造字第04664號"</f>
        <v>(107)南工造字第04664號</v>
      </c>
      <c r="D428" t="str">
        <f>"108/10/22"</f>
        <v>108/10/22</v>
      </c>
      <c r="E428" t="str">
        <f>"2019/10/22 上午 12:00:00"</f>
        <v>2019/10/22 上午 12:00:00</v>
      </c>
      <c r="F428" t="str">
        <f>"A1"</f>
        <v>A1</v>
      </c>
    </row>
    <row r="429" spans="1:6" ht="16.5">
      <c r="A429" t="str">
        <f>"AA007186360"</f>
        <v>AA007186360</v>
      </c>
      <c r="B429" t="str">
        <f>"霖富建設股份有限公司 代表人:洪正翰(4Fx12戶)店舖、住宅　新建工程"</f>
        <v>霖富建設股份有限公司 代表人:洪正翰(4Fx12戶)店舖、住宅　新建工程</v>
      </c>
      <c r="C429" t="str">
        <f>"(107)南工造字第05213~05224號 "</f>
        <v>(107)南工造字第05213~05224號 </v>
      </c>
      <c r="D429" t="str">
        <f>"108/10/19"</f>
        <v>108/10/19</v>
      </c>
      <c r="E429" t="str">
        <f>"2019/10/18 上午 12:00:00"</f>
        <v>2019/10/18 上午 12:00:00</v>
      </c>
      <c r="F429" t="str">
        <f>"A1"</f>
        <v>A1</v>
      </c>
    </row>
    <row r="430" spans="1:6" ht="16.5">
      <c r="A430" t="str">
        <f>"AA007186593"</f>
        <v>AA007186593</v>
      </c>
      <c r="B430" t="str">
        <f>"A1-鄭秀卿住宅新建工程"</f>
        <v>A1-鄭秀卿住宅新建工程</v>
      </c>
      <c r="C430" t="str">
        <f>"(107)(古)營建字第00046號"</f>
        <v>(107)(古)營建字第00046號</v>
      </c>
      <c r="D430" t="str">
        <f>"108/10/17"</f>
        <v>108/10/17</v>
      </c>
      <c r="E430" t="str">
        <f>"2019/10/15 上午 12:00:00"</f>
        <v>2019/10/15 上午 12:00:00</v>
      </c>
      <c r="F430" t="str">
        <f>"A1"</f>
        <v>A1</v>
      </c>
    </row>
    <row r="431" spans="1:6" ht="16.5">
      <c r="A431" t="str">
        <f>"AA007186795"</f>
        <v>AA007186795</v>
      </c>
      <c r="B431" t="str">
        <f>"黃金盤等二戶住宅新建工程"</f>
        <v>黃金盤等二戶住宅新建工程</v>
      </c>
      <c r="C431" t="str">
        <f>"(107)南工造字第05160、05161號"</f>
        <v>(107)南工造字第05160、05161號</v>
      </c>
      <c r="D431" t="str">
        <f>"108/10/30"</f>
        <v>108/10/30</v>
      </c>
      <c r="E431" t="str">
        <f>"2019/10/30 上午 12:00:00"</f>
        <v>2019/10/30 上午 12:00:00</v>
      </c>
      <c r="F431" t="str">
        <f>"A1"</f>
        <v>A1</v>
      </c>
    </row>
    <row r="432" spans="1:6" ht="16.5">
      <c r="A432" t="str">
        <f>"TP207188211"</f>
        <v>TP207188211</v>
      </c>
      <c r="B432" t="str">
        <f>"C1 海聖股份有限公司八里廠房增建工程"</f>
        <v>C1 海聖股份有限公司八里廠房增建工程</v>
      </c>
      <c r="C432" t="str">
        <f>"107八建字第00428號"</f>
        <v>107八建字第00428號</v>
      </c>
      <c r="D432" t="str">
        <f>"108/10/27"</f>
        <v>108/10/27</v>
      </c>
      <c r="E432" t="str">
        <f>"2019/10/23 上午 12:00:00"</f>
        <v>2019/10/23 上午 12:00:00</v>
      </c>
      <c r="F432" t="str">
        <f>"C1"</f>
        <v>C1</v>
      </c>
    </row>
    <row r="433" spans="1:6" ht="16.5">
      <c r="A433" t="str">
        <f>"AA007188428"</f>
        <v>AA007188428</v>
      </c>
      <c r="B433" t="str">
        <f>"A1 陳美琴自用農舍新建工程"</f>
        <v>A1 陳美琴自用農舍新建工程</v>
      </c>
      <c r="C433" t="str">
        <f>"107中都建字第00048號"</f>
        <v>107中都建字第00048號</v>
      </c>
      <c r="D433" t="str">
        <f>"108/10/28"</f>
        <v>108/10/28</v>
      </c>
      <c r="E433" t="str">
        <f>"2019/10/28 上午 12:00:00"</f>
        <v>2019/10/28 上午 12:00:00</v>
      </c>
      <c r="F433" t="str">
        <f>"A1"</f>
        <v>A1</v>
      </c>
    </row>
    <row r="434" spans="1:6" ht="16.5">
      <c r="A434" t="str">
        <f>"AA007188803"</f>
        <v>AA007188803</v>
      </c>
      <c r="B434" t="str">
        <f>"A1-陳文從住宅新建工程"</f>
        <v>A1-陳文從住宅新建工程</v>
      </c>
      <c r="C434" t="str">
        <f>"107嘉梅鄉建字第031號"</f>
        <v>107嘉梅鄉建字第031號</v>
      </c>
      <c r="D434" t="str">
        <f>"108/10/15"</f>
        <v>108/10/15</v>
      </c>
      <c r="E434" t="str">
        <f>"2019/10/15 上午 12:00:00"</f>
        <v>2019/10/15 上午 12:00:00</v>
      </c>
      <c r="F434" t="str">
        <f>"A1"</f>
        <v>A1</v>
      </c>
    </row>
    <row r="435" spans="1:6" ht="16.5">
      <c r="A435" t="str">
        <f>"AA007189119"</f>
        <v>AA007189119</v>
      </c>
      <c r="B435" t="str">
        <f>"賴李金笑住宅"</f>
        <v>賴李金笑住宅</v>
      </c>
      <c r="C435" t="str">
        <f>"(107)南工造字第05269號"</f>
        <v>(107)南工造字第05269號</v>
      </c>
      <c r="D435" t="str">
        <f>"108/10/29"</f>
        <v>108/10/29</v>
      </c>
      <c r="E435" t="str">
        <f>"2019/10/29 上午 12:00:00"</f>
        <v>2019/10/29 上午 12:00:00</v>
      </c>
      <c r="F435" t="str">
        <f>"A1"</f>
        <v>A1</v>
      </c>
    </row>
    <row r="436" spans="1:6" ht="16.5">
      <c r="A436" t="str">
        <f>"AA007190438"</f>
        <v>AA007190438</v>
      </c>
      <c r="B436" t="str">
        <f>"胡稼禔(3Fx1戶)新建住宅"</f>
        <v>胡稼禔(3Fx1戶)新建住宅</v>
      </c>
      <c r="C436" t="str">
        <f>"(107)南工造字第05206號"</f>
        <v>(107)南工造字第05206號</v>
      </c>
      <c r="D436" t="str">
        <f>"108/10/29"</f>
        <v>108/10/29</v>
      </c>
      <c r="E436" t="str">
        <f>"2019/10/29 上午 12:00:00"</f>
        <v>2019/10/29 上午 12:00:00</v>
      </c>
      <c r="F436" t="s">
        <v>7</v>
      </c>
    </row>
    <row r="437" spans="1:6" ht="16.5">
      <c r="A437" t="str">
        <f>"AA007190533"</f>
        <v>AA007190533</v>
      </c>
      <c r="B437" t="str">
        <f>"林全吉-住宅新建工程"</f>
        <v>林全吉-住宅新建工程</v>
      </c>
      <c r="C437" t="str">
        <f>"(107)(麥)鄉營建字第00117號"</f>
        <v>(107)(麥)鄉營建字第00117號</v>
      </c>
      <c r="D437" t="str">
        <f>"108/10/14"</f>
        <v>108/10/14</v>
      </c>
      <c r="E437" t="str">
        <f>"2019/10/14 上午 12:00:00"</f>
        <v>2019/10/14 上午 12:00:00</v>
      </c>
      <c r="F437" t="str">
        <f>"A1"</f>
        <v>A1</v>
      </c>
    </row>
    <row r="438" spans="1:6" ht="16.5">
      <c r="A438" t="str">
        <f>"AA007190769"</f>
        <v>AA007190769</v>
      </c>
      <c r="B438" t="str">
        <f>"凱薩克科技股份有限公司 負責人:許榮裕(3Fx1戶)廠房　新建工程"</f>
        <v>凱薩克科技股份有限公司 負責人:許榮裕(3Fx1戶)廠房　新建工程</v>
      </c>
      <c r="C438" t="str">
        <f>"(107)南工造字第04883號"</f>
        <v>(107)南工造字第04883號</v>
      </c>
      <c r="D438" t="str">
        <f>"108/10/03"</f>
        <v>108/10/03</v>
      </c>
      <c r="E438" t="str">
        <f>"2019/10/3 上午 12:00:00"</f>
        <v>2019/10/3 上午 12:00:00</v>
      </c>
      <c r="F438" t="str">
        <f>"C1"</f>
        <v>C1</v>
      </c>
    </row>
    <row r="439" spans="1:6" ht="16.5">
      <c r="A439" t="str">
        <f>"AA007191090"</f>
        <v>AA007191090</v>
      </c>
      <c r="B439" t="str">
        <f>"A1-李偉銘住宅新建工程"</f>
        <v>A1-李偉銘住宅新建工程</v>
      </c>
      <c r="C439" t="str">
        <f>"(107)嘉水鄉建執字第00111~00112號"</f>
        <v>(107)嘉水鄉建執字第00111~00112號</v>
      </c>
      <c r="D439" t="str">
        <f>"108/10/21"</f>
        <v>108/10/21</v>
      </c>
      <c r="E439" t="str">
        <f>"2019/10/17 上午 12:00:00"</f>
        <v>2019/10/17 上午 12:00:00</v>
      </c>
      <c r="F439" t="str">
        <f>"A1"</f>
        <v>A1</v>
      </c>
    </row>
    <row r="440" spans="1:6" ht="16.5">
      <c r="A440" t="str">
        <f>"AA007191443"</f>
        <v>AA007191443</v>
      </c>
      <c r="B440" t="str">
        <f>"林液祥(2Fx1戶)住宅"</f>
        <v>林液祥(2Fx1戶)住宅</v>
      </c>
      <c r="C440" t="str">
        <f>"(107)南工造字第05256號"</f>
        <v>(107)南工造字第05256號</v>
      </c>
      <c r="D440" t="str">
        <f>"108/10/16"</f>
        <v>108/10/16</v>
      </c>
      <c r="E440" t="str">
        <f>"2019/10/16 上午 12:00:00"</f>
        <v>2019/10/16 上午 12:00:00</v>
      </c>
      <c r="F440" t="str">
        <f>"A1"</f>
        <v>A1</v>
      </c>
    </row>
    <row r="441" spans="1:6" ht="16.5">
      <c r="A441" t="str">
        <f>"AA007191795"</f>
        <v>AA007191795</v>
      </c>
      <c r="B441" t="str">
        <f>"苗栗縣苑裡鎮苑南段店舖新建工程"</f>
        <v>苗栗縣苑裡鎮苑南段店舖新建工程</v>
      </c>
      <c r="C441" t="str">
        <f>"(107)栗商建苑建字第00142號"</f>
        <v>(107)栗商建苑建字第00142號</v>
      </c>
      <c r="D441" t="str">
        <f>"108/10/21"</f>
        <v>108/10/21</v>
      </c>
      <c r="E441" t="str">
        <f>"2019/9/6 上午 12:00:00"</f>
        <v>2019/9/6 上午 12:00:00</v>
      </c>
      <c r="F441" t="s">
        <v>13</v>
      </c>
    </row>
    <row r="442" spans="1:6" ht="16.5">
      <c r="A442" t="str">
        <f>"AA007191885"</f>
        <v>AA007191885</v>
      </c>
      <c r="B442" t="str">
        <f>"A1-翁子峯 住宅新建工程"</f>
        <v>A1-翁子峯 住宅新建工程</v>
      </c>
      <c r="C442" t="str">
        <f>"107嘉義鄉建造字第14號"</f>
        <v>107嘉義鄉建造字第14號</v>
      </c>
      <c r="D442" t="str">
        <f>"108/10/07"</f>
        <v>108/10/07</v>
      </c>
      <c r="E442" t="str">
        <f>"2019/10/7 上午 12:00:00"</f>
        <v>2019/10/7 上午 12:00:00</v>
      </c>
      <c r="F442" t="str">
        <f>"A1"</f>
        <v>A1</v>
      </c>
    </row>
    <row r="443" spans="1:6" ht="16.5">
      <c r="A443" t="str">
        <f>"AA007192395"</f>
        <v>AA007192395</v>
      </c>
      <c r="B443" t="str">
        <f>"A1、A2玉卍營造永興段住宅新建工程"</f>
        <v>A1、A2玉卍營造永興段住宅新建工程</v>
      </c>
      <c r="C443" t="str">
        <f>"花建執照字第107A0374號"</f>
        <v>花建執照字第107A0374號</v>
      </c>
      <c r="D443" t="str">
        <f>"108/10/30"</f>
        <v>108/10/30</v>
      </c>
      <c r="E443" t="str">
        <f>"2019/10/25 上午 12:00:00"</f>
        <v>2019/10/25 上午 12:00:00</v>
      </c>
      <c r="F443" t="str">
        <f>"A1"</f>
        <v>A1</v>
      </c>
    </row>
    <row r="444" spans="1:6" ht="16.5">
      <c r="A444" t="str">
        <f>"AA007192438"</f>
        <v>AA007192438</v>
      </c>
      <c r="B444" t="str">
        <f>"A1-黃久玲-店鋪新建工程"</f>
        <v>A1-黃久玲-店鋪新建工程</v>
      </c>
      <c r="C444" t="str">
        <f>"(107)雲營建字第01390.1391號"</f>
        <v>(107)雲營建字第01390.1391號</v>
      </c>
      <c r="D444" t="str">
        <f>"108/10/15"</f>
        <v>108/10/15</v>
      </c>
      <c r="E444" t="str">
        <f>"2019/10/15 上午 12:00:00"</f>
        <v>2019/10/15 上午 12:00:00</v>
      </c>
      <c r="F444" t="str">
        <f>"A1"</f>
        <v>A1</v>
      </c>
    </row>
    <row r="445" spans="1:6" ht="16.5">
      <c r="A445" t="str">
        <f>"AA007192891"</f>
        <v>AA007192891</v>
      </c>
      <c r="B445" t="str">
        <f>"金色大健康 護理之家新建工程"</f>
        <v>金色大健康 護理之家新建工程</v>
      </c>
      <c r="C445" t="str">
        <f>"(106)桃市都建執照字第會壢00528-01號"</f>
        <v>(106)桃市都建執照字第會壢00528-01號</v>
      </c>
      <c r="D445" t="str">
        <f>"108/10/16"</f>
        <v>108/10/16</v>
      </c>
      <c r="E445" t="str">
        <f>"2019/10/9 上午 12:00:00"</f>
        <v>2019/10/9 上午 12:00:00</v>
      </c>
      <c r="F445" t="s">
        <v>13</v>
      </c>
    </row>
    <row r="446" spans="1:6" ht="16.5">
      <c r="A446" t="str">
        <f>"AA007193533"</f>
        <v>AA007193533</v>
      </c>
      <c r="B446" t="str">
        <f>"立新建設有限公司3F*2戶住宅新建工程"</f>
        <v>立新建設有限公司3F*2戶住宅新建工程</v>
      </c>
      <c r="C446" t="str">
        <f>"(107)南工造字第05331~05332 號"</f>
        <v>(107)南工造字第05331~05332 號</v>
      </c>
      <c r="D446" t="str">
        <f>"108/10/08"</f>
        <v>108/10/08</v>
      </c>
      <c r="E446" t="str">
        <f>"2019/10/8 上午 12:00:00"</f>
        <v>2019/10/8 上午 12:00:00</v>
      </c>
      <c r="F446" t="str">
        <f>"A1"</f>
        <v>A1</v>
      </c>
    </row>
    <row r="447" spans="1:6" ht="16.5">
      <c r="A447" t="str">
        <f>"AA007193550"</f>
        <v>AA007193550</v>
      </c>
      <c r="B447" t="str">
        <f>"A1-蔡忠成-住宅新建工程"</f>
        <v>A1-蔡忠成-住宅新建工程</v>
      </c>
      <c r="C447" t="str">
        <f>"(107)(雲)營建字第01041號"</f>
        <v>(107)(雲)營建字第01041號</v>
      </c>
      <c r="D447" t="str">
        <f>"108/10/23"</f>
        <v>108/10/23</v>
      </c>
      <c r="E447" t="str">
        <f>"2019/10/23 上午 12:00:00"</f>
        <v>2019/10/23 上午 12:00:00</v>
      </c>
      <c r="F447" t="str">
        <f>"A1"</f>
        <v>A1</v>
      </c>
    </row>
    <row r="448" spans="1:6" ht="16.5">
      <c r="A448" t="str">
        <f>"AA008000900"</f>
        <v>AA008000900</v>
      </c>
      <c r="B448" t="str">
        <f>"A1-施麗鳳-住宅新建工程"</f>
        <v>A1-施麗鳳-住宅新建工程</v>
      </c>
      <c r="C448" t="str">
        <f>"(107)(雲)營建字第01384號"</f>
        <v>(107)(雲)營建字第01384號</v>
      </c>
      <c r="D448" t="str">
        <f>"108/10/03"</f>
        <v>108/10/03</v>
      </c>
      <c r="E448" t="str">
        <f>"2019/10/3 上午 12:00:00"</f>
        <v>2019/10/3 上午 12:00:00</v>
      </c>
      <c r="F448" t="str">
        <f>"A1"</f>
        <v>A1</v>
      </c>
    </row>
    <row r="449" spans="1:6" ht="16.5">
      <c r="A449" t="str">
        <f>"AA008002910"</f>
        <v>AA008002910</v>
      </c>
      <c r="B449" t="str">
        <f>"達曜建設有限公司張惠評新建工程"</f>
        <v>達曜建設有限公司張惠評新建工程</v>
      </c>
      <c r="C449" t="str">
        <f>"(107)桃市都建執照字第會溪01417號"</f>
        <v>(107)桃市都建執照字第會溪01417號</v>
      </c>
      <c r="D449" t="str">
        <f>"108/10/23"</f>
        <v>108/10/23</v>
      </c>
      <c r="E449" t="str">
        <f>"2019/10/15 上午 12:00:00"</f>
        <v>2019/10/15 上午 12:00:00</v>
      </c>
      <c r="F449" t="str">
        <f>"B1"</f>
        <v>B1</v>
      </c>
    </row>
    <row r="450" spans="1:6" ht="16.5">
      <c r="A450" t="str">
        <f>"AA008003292"</f>
        <v>AA008003292</v>
      </c>
      <c r="B450" t="str">
        <f>"宇能建設有限公司代表人:黃定華住宅新建工程"</f>
        <v>宇能建設有限公司代表人:黃定華住宅新建工程</v>
      </c>
      <c r="C450" t="str">
        <f>"(107)南工造字第05343號"</f>
        <v>(107)南工造字第05343號</v>
      </c>
      <c r="D450" t="str">
        <f>"108/10/14"</f>
        <v>108/10/14</v>
      </c>
      <c r="E450" t="str">
        <f>"2019/10/14 上午 12:00:00"</f>
        <v>2019/10/14 上午 12:00:00</v>
      </c>
      <c r="F450" t="str">
        <f>"A1"</f>
        <v>A1</v>
      </c>
    </row>
    <row r="451" spans="1:6" ht="16.5">
      <c r="A451" t="str">
        <f>"AA008003504"</f>
        <v>AA008003504</v>
      </c>
      <c r="B451" t="str">
        <f>"A1-上北建設有限公司-住宅新建工程"</f>
        <v>A1-上北建設有限公司-住宅新建工程</v>
      </c>
      <c r="C451" t="str">
        <f>"(108)(雲)營建字第00006號"</f>
        <v>(108)(雲)營建字第00006號</v>
      </c>
      <c r="D451" t="str">
        <f>"108/10/28"</f>
        <v>108/10/28</v>
      </c>
      <c r="E451" t="str">
        <f>"2019/10/28 上午 12:00:00"</f>
        <v>2019/10/28 上午 12:00:00</v>
      </c>
      <c r="F451" t="str">
        <f>"A1"</f>
        <v>A1</v>
      </c>
    </row>
    <row r="452" spans="1:6" ht="16.5">
      <c r="A452" t="str">
        <f>"AA008003562"</f>
        <v>AA008003562</v>
      </c>
      <c r="B452" t="str">
        <f>"御品加食品有限公司廠房增建工程(第一次變更設計)"</f>
        <v>御品加食品有限公司廠房增建工程(第一次變更設計)</v>
      </c>
      <c r="C452" t="str">
        <f>"(107)高市工建築字第00935-01號"</f>
        <v>(107)高市工建築字第00935-01號</v>
      </c>
      <c r="D452" t="str">
        <f>"108/10/17"</f>
        <v>108/10/17</v>
      </c>
      <c r="E452" t="str">
        <f>"2019/10/13 上午 12:00:00"</f>
        <v>2019/10/13 上午 12:00:00</v>
      </c>
      <c r="F452" t="str">
        <f>"C1"</f>
        <v>C1</v>
      </c>
    </row>
    <row r="453" spans="1:6" ht="16.5">
      <c r="A453" t="str">
        <f>"AA008004360"</f>
        <v>AA008004360</v>
      </c>
      <c r="B453" t="str">
        <f>"富市欣建設23戶住宅新建工程"</f>
        <v>富市欣建設23戶住宅新建工程</v>
      </c>
      <c r="C453" t="s">
        <v>28</v>
      </c>
      <c r="D453" t="str">
        <f>"108/10/14"</f>
        <v>108/10/14</v>
      </c>
      <c r="E453" t="str">
        <f>"2019/10/7 上午 12:00:00"</f>
        <v>2019/10/7 上午 12:00:00</v>
      </c>
      <c r="F453" t="str">
        <f>"A1"</f>
        <v>A1</v>
      </c>
    </row>
    <row r="454" spans="1:6" ht="16.5">
      <c r="A454" t="str">
        <f>"AA008004969"</f>
        <v>AA008004969</v>
      </c>
      <c r="B454" t="s">
        <v>29</v>
      </c>
      <c r="C454" t="str">
        <f>"104建字第0019號"</f>
        <v>104建字第0019號</v>
      </c>
      <c r="D454" t="str">
        <f>"108/10/23"</f>
        <v>108/10/23</v>
      </c>
      <c r="E454" t="str">
        <f>"2019/10/23 上午 12:00:00"</f>
        <v>2019/10/23 上午 12:00:00</v>
      </c>
      <c r="F454" t="s">
        <v>12</v>
      </c>
    </row>
    <row r="455" spans="1:6" ht="16.5">
      <c r="A455" t="str">
        <f>"AA008006209"</f>
        <v>AA008006209</v>
      </c>
      <c r="B455" t="str">
        <f>"富裕開發建設有限公司"</f>
        <v>富裕開發建設有限公司</v>
      </c>
      <c r="C455" t="str">
        <f>"(107)南工造字第05536~05551"</f>
        <v>(107)南工造字第05536~05551</v>
      </c>
      <c r="D455" t="str">
        <f>"108/10/31"</f>
        <v>108/10/31</v>
      </c>
      <c r="E455" t="str">
        <f>"2019/10/31 上午 12:00:00"</f>
        <v>2019/10/31 上午 12:00:00</v>
      </c>
      <c r="F455" t="str">
        <f>"A1"</f>
        <v>A1</v>
      </c>
    </row>
    <row r="456" spans="1:6" ht="16.5">
      <c r="A456" t="str">
        <f>"AA008007949"</f>
        <v>AA008007949</v>
      </c>
      <c r="B456" t="str">
        <f>"B1 匯有建設有限公司店鋪新建工程"</f>
        <v>B1 匯有建設有限公司店鋪新建工程</v>
      </c>
      <c r="C456" t="str">
        <f>"107中都建字第02999號"</f>
        <v>107中都建字第02999號</v>
      </c>
      <c r="D456" t="str">
        <f>"108/10/04"</f>
        <v>108/10/04</v>
      </c>
      <c r="E456" t="str">
        <f>"2019/9/25 上午 12:00:00"</f>
        <v>2019/9/25 上午 12:00:00</v>
      </c>
      <c r="F456" t="str">
        <f>"B1"</f>
        <v>B1</v>
      </c>
    </row>
    <row r="457" spans="1:6" ht="16.5">
      <c r="A457" t="str">
        <f>"AA008008910"</f>
        <v>AA008008910</v>
      </c>
      <c r="B457" t="s">
        <v>30</v>
      </c>
      <c r="C457" t="str">
        <f>"(108)南工造字第00144號"</f>
        <v>(108)南工造字第00144號</v>
      </c>
      <c r="D457" t="str">
        <f>"108/10/12"</f>
        <v>108/10/12</v>
      </c>
      <c r="E457" t="str">
        <f>"2019/10/9 上午 12:00:00"</f>
        <v>2019/10/9 上午 12:00:00</v>
      </c>
      <c r="F457" t="s">
        <v>13</v>
      </c>
    </row>
    <row r="458" spans="1:6" ht="16.5">
      <c r="A458" t="str">
        <f>"AA008009090"</f>
        <v>AA008009090</v>
      </c>
      <c r="B458" t="str">
        <f>"A1 王國龍住宅新建工程"</f>
        <v>A1 王國龍住宅新建工程</v>
      </c>
      <c r="C458" t="str">
        <f>"107中都建字第02984號"</f>
        <v>107中都建字第02984號</v>
      </c>
      <c r="D458" t="str">
        <f>"108/10/30"</f>
        <v>108/10/30</v>
      </c>
      <c r="E458" t="str">
        <f>"2019/10/30 上午 12:00:00"</f>
        <v>2019/10/30 上午 12:00:00</v>
      </c>
      <c r="F458" t="str">
        <f>"A1"</f>
        <v>A1</v>
      </c>
    </row>
    <row r="459" spans="1:6" ht="16.5">
      <c r="A459" t="str">
        <f>"AA008010078"</f>
        <v>AA008010078</v>
      </c>
      <c r="B459" t="str">
        <f>"名人堂花園大飯店新建工程案"</f>
        <v>名人堂花園大飯店新建工程案</v>
      </c>
      <c r="C459" t="str">
        <f>"(106)桃市都建執照第會龍00130號"</f>
        <v>(106)桃市都建執照第會龍00130號</v>
      </c>
      <c r="D459" t="str">
        <f>"108/10/14"</f>
        <v>108/10/14</v>
      </c>
      <c r="E459" t="str">
        <f>"2019/8/20 上午 12:00:00"</f>
        <v>2019/8/20 上午 12:00:00</v>
      </c>
      <c r="F459" t="s">
        <v>31</v>
      </c>
    </row>
    <row r="460" spans="1:6" ht="16.5">
      <c r="A460" t="str">
        <f>"AA008010234"</f>
        <v>AA008010234</v>
      </c>
      <c r="B460" t="str">
        <f>"A1-蔡平來二戶店舖新建工程"</f>
        <v>A1-蔡平來二戶店舖新建工程</v>
      </c>
      <c r="C460" t="str">
        <f>"108雲營建字第20.21號"</f>
        <v>108雲營建字第20.21號</v>
      </c>
      <c r="D460" t="str">
        <f>"108/10/15"</f>
        <v>108/10/15</v>
      </c>
      <c r="E460" t="str">
        <f>"2019/10/15 上午 12:00:00"</f>
        <v>2019/10/15 上午 12:00:00</v>
      </c>
      <c r="F460" t="str">
        <f>"A1"</f>
        <v>A1</v>
      </c>
    </row>
    <row r="461" spans="1:6" ht="16.5">
      <c r="A461" t="str">
        <f>"AA008010248"</f>
        <v>AA008010248</v>
      </c>
      <c r="B461" t="str">
        <f>"A1-程惠敏住宅新建工程"</f>
        <v>A1-程惠敏住宅新建工程</v>
      </c>
      <c r="C461" t="str">
        <f>"108雲營莿建字第1號"</f>
        <v>108雲營莿建字第1號</v>
      </c>
      <c r="D461" t="str">
        <f>"108/10/24"</f>
        <v>108/10/24</v>
      </c>
      <c r="E461" t="str">
        <f>"2019/10/24 上午 12:00:00"</f>
        <v>2019/10/24 上午 12:00:00</v>
      </c>
      <c r="F461" t="str">
        <f>"A1"</f>
        <v>A1</v>
      </c>
    </row>
    <row r="462" spans="1:6" ht="16.5">
      <c r="A462" t="str">
        <f>"AA008012803"</f>
        <v>AA008012803</v>
      </c>
      <c r="B462" t="s">
        <v>32</v>
      </c>
      <c r="C462" t="s">
        <v>33</v>
      </c>
      <c r="D462" t="str">
        <f>"108/10/22"</f>
        <v>108/10/22</v>
      </c>
      <c r="E462" t="str">
        <f>"2019/10/22 上午 12:00:00"</f>
        <v>2019/10/22 上午 12:00:00</v>
      </c>
      <c r="F462" t="s">
        <v>34</v>
      </c>
    </row>
    <row r="463" spans="1:6" ht="16.5">
      <c r="A463" t="str">
        <f>"AA008013640"</f>
        <v>AA008013640</v>
      </c>
      <c r="B463" t="str">
        <f>"楠梓區藍昌段三小段166、170、178、182地號等4筆辦公室新建工程(第一次變更設計)"</f>
        <v>楠梓區藍昌段三小段166、170、178、182地號等4筆辦公室新建工程(第一次變更設計)</v>
      </c>
      <c r="C463" t="str">
        <f>"（105）高市工建築字第01377-02號"</f>
        <v>（105）高市工建築字第01377-02號</v>
      </c>
      <c r="D463" t="str">
        <f>"108/10/02"</f>
        <v>108/10/02</v>
      </c>
      <c r="E463" t="str">
        <f>"2019/9/30 上午 12:00:00"</f>
        <v>2019/9/30 上午 12:00:00</v>
      </c>
      <c r="F463" t="s">
        <v>13</v>
      </c>
    </row>
    <row r="464" spans="1:6" ht="16.5">
      <c r="A464" t="str">
        <f>"AA008015014"</f>
        <v>AA008015014</v>
      </c>
      <c r="B464" t="str">
        <f>"嘉韙建設有限公司(4Fx8戶)住宅"</f>
        <v>嘉韙建設有限公司(4Fx8戶)住宅</v>
      </c>
      <c r="C464" t="str">
        <f>"(107)南工造字05622~05625號"</f>
        <v>(107)南工造字05622~05625號</v>
      </c>
      <c r="D464" t="str">
        <f>"108/10/23"</f>
        <v>108/10/23</v>
      </c>
      <c r="E464" t="str">
        <f>"2019/10/18 上午 12:00:00"</f>
        <v>2019/10/18 上午 12:00:00</v>
      </c>
      <c r="F464" t="s">
        <v>23</v>
      </c>
    </row>
    <row r="465" spans="1:6" ht="16.5">
      <c r="A465" t="str">
        <f>"AA008015104"</f>
        <v>AA008015104</v>
      </c>
      <c r="B465" t="str">
        <f>"葉慧環-補習班新建工程"</f>
        <v>葉慧環-補習班新建工程</v>
      </c>
      <c r="C465" t="str">
        <f>"(106)府建字第00209號(1)"</f>
        <v>(106)府建字第00209號(1)</v>
      </c>
      <c r="D465" t="str">
        <f>"108/10/01"</f>
        <v>108/10/01</v>
      </c>
      <c r="E465" t="str">
        <f>"2019/9/27 上午 12:00:00"</f>
        <v>2019/9/27 上午 12:00:00</v>
      </c>
      <c r="F465" t="s">
        <v>13</v>
      </c>
    </row>
    <row r="466" spans="1:6" ht="16.5">
      <c r="A466" t="str">
        <f>"AA008015699"</f>
        <v>AA008015699</v>
      </c>
      <c r="B466" t="str">
        <f>"台灣通運倉儲股份有限公司林園工廠新建工程"</f>
        <v>台灣通運倉儲股份有限公司林園工廠新建工程</v>
      </c>
      <c r="C466" t="str">
        <f>"(108)高市工建築字第00283號"</f>
        <v>(108)高市工建築字第00283號</v>
      </c>
      <c r="D466" t="str">
        <f>"108/10/31"</f>
        <v>108/10/31</v>
      </c>
      <c r="E466" t="str">
        <f>"2019/10/30 上午 12:00:00"</f>
        <v>2019/10/30 上午 12:00:00</v>
      </c>
      <c r="F466" t="str">
        <f>"C1"</f>
        <v>C1</v>
      </c>
    </row>
    <row r="467" spans="1:6" ht="16.5">
      <c r="A467" t="str">
        <f>"AA008017401"</f>
        <v>AA008017401</v>
      </c>
      <c r="B467" t="str">
        <f>"A1 陳瓊瑤店舖.住宅新建工程"</f>
        <v>A1 陳瓊瑤店舖.住宅新建工程</v>
      </c>
      <c r="C467" t="str">
        <f>"107中都建字第01503號"</f>
        <v>107中都建字第01503號</v>
      </c>
      <c r="D467" t="str">
        <f>"108/10/05"</f>
        <v>108/10/05</v>
      </c>
      <c r="E467" t="str">
        <f>"2019/10/5 上午 12:00:00"</f>
        <v>2019/10/5 上午 12:00:00</v>
      </c>
      <c r="F467" t="str">
        <f>"A1"</f>
        <v>A1</v>
      </c>
    </row>
    <row r="468" spans="1:6" ht="16.5">
      <c r="A468" t="str">
        <f>"AA008017562"</f>
        <v>AA008017562</v>
      </c>
      <c r="B468" t="str">
        <f>"黃家樑工廠新建工程"</f>
        <v>黃家樑工廠新建工程</v>
      </c>
      <c r="C468" t="str">
        <f>"(108)南工造字第00248號"</f>
        <v>(108)南工造字第00248號</v>
      </c>
      <c r="D468" t="str">
        <f>"108/10/29"</f>
        <v>108/10/29</v>
      </c>
      <c r="E468" t="str">
        <f>"2019/10/29 上午 12:00:00"</f>
        <v>2019/10/29 上午 12:00:00</v>
      </c>
      <c r="F468" t="str">
        <f>"B1"</f>
        <v>B1</v>
      </c>
    </row>
    <row r="469" spans="1:6" ht="16.5">
      <c r="A469" t="str">
        <f>"AA008018054"</f>
        <v>AA008018054</v>
      </c>
      <c r="B469" t="str">
        <f>"李世鋐3FX1戶住宅新建工程"</f>
        <v>李世鋐3FX1戶住宅新建工程</v>
      </c>
      <c r="C469" t="str">
        <f>"(108)南工造字第00272號"</f>
        <v>(108)南工造字第00272號</v>
      </c>
      <c r="D469" t="str">
        <f>"108/10/28"</f>
        <v>108/10/28</v>
      </c>
      <c r="E469" t="str">
        <f>"2019/10/28 上午 12:00:00"</f>
        <v>2019/10/28 上午 12:00:00</v>
      </c>
      <c r="F469" t="s">
        <v>7</v>
      </c>
    </row>
    <row r="470" spans="1:6" ht="16.5">
      <c r="A470" t="str">
        <f>"AA008019769"</f>
        <v>AA008019769</v>
      </c>
      <c r="B470" t="str">
        <f>"A1-吳美慧 住宅新建工程"</f>
        <v>A1-吳美慧 住宅新建工程</v>
      </c>
      <c r="C470" t="str">
        <f>"108嘉東鄉建執字第01號"</f>
        <v>108嘉東鄉建執字第01號</v>
      </c>
      <c r="D470" t="str">
        <f>"108/10/21"</f>
        <v>108/10/21</v>
      </c>
      <c r="E470" t="str">
        <f>"2019/10/21 上午 12:00:00"</f>
        <v>2019/10/21 上午 12:00:00</v>
      </c>
      <c r="F470" t="str">
        <f>"A1"</f>
        <v>A1</v>
      </c>
    </row>
    <row r="471" spans="1:6" ht="16.5">
      <c r="A471" t="str">
        <f>"AA008021730"</f>
        <v>AA008021730</v>
      </c>
      <c r="B471" t="str">
        <f>"陳綺霞住宅新建工程"</f>
        <v>陳綺霞住宅新建工程</v>
      </c>
      <c r="C471" t="str">
        <f>"(108)高市工建築字第00369號"</f>
        <v>(108)高市工建築字第00369號</v>
      </c>
      <c r="D471" t="str">
        <f>"108/10/07"</f>
        <v>108/10/07</v>
      </c>
      <c r="E471" t="str">
        <f>"2019/10/4 上午 12:00:00"</f>
        <v>2019/10/4 上午 12:00:00</v>
      </c>
      <c r="F471" t="str">
        <f>"A1"</f>
        <v>A1</v>
      </c>
    </row>
    <row r="472" spans="1:6" ht="16.5">
      <c r="A472" t="str">
        <f>"AA008022769"</f>
        <v>AA008022769</v>
      </c>
      <c r="B472" t="str">
        <f>"江香妍住宅新建工程"</f>
        <v>江香妍住宅新建工程</v>
      </c>
      <c r="C472" t="str">
        <f>"(108)南工造字第00198號"</f>
        <v>(108)南工造字第00198號</v>
      </c>
      <c r="D472" t="str">
        <f>"108/10/19"</f>
        <v>108/10/19</v>
      </c>
      <c r="E472" t="str">
        <f>"2019/10/18 上午 12:00:00"</f>
        <v>2019/10/18 上午 12:00:00</v>
      </c>
      <c r="F472" t="str">
        <f>"A1"</f>
        <v>A1</v>
      </c>
    </row>
    <row r="473" spans="1:6" ht="16.5">
      <c r="A473" t="str">
        <f>"AA008023263"</f>
        <v>AA008023263</v>
      </c>
      <c r="B473" t="str">
        <f>"「永聯瑞芳工商綜合區」 B10區園區多功能服務大樓統包工程"</f>
        <v>「永聯瑞芳工商綜合區」 B10區園區多功能服務大樓統包工程</v>
      </c>
      <c r="C473" t="str">
        <f>"108瑞建字第00055號"</f>
        <v>108瑞建字第00055號</v>
      </c>
      <c r="D473" t="str">
        <f>"108/10/04"</f>
        <v>108/10/04</v>
      </c>
      <c r="E473" t="str">
        <f>"2019/9/19 上午 12:00:00"</f>
        <v>2019/9/19 上午 12:00:00</v>
      </c>
      <c r="F473" t="s">
        <v>13</v>
      </c>
    </row>
    <row r="474" spans="1:6" ht="16.5">
      <c r="A474" t="str">
        <f>"AA008024485"</f>
        <v>AA008024485</v>
      </c>
      <c r="B474" t="str">
        <f>"A1-吳美旻集貨及包裝廠新建工程"</f>
        <v>A1-吳美旻集貨及包裝廠新建工程</v>
      </c>
      <c r="C474" t="str">
        <f>"A 107嘉市府都建執字第00416號"</f>
        <v>A 107嘉市府都建執字第00416號</v>
      </c>
      <c r="D474" t="str">
        <f>"108/10/14"</f>
        <v>108/10/14</v>
      </c>
      <c r="E474" t="str">
        <f>"2019/10/14 上午 12:00:00"</f>
        <v>2019/10/14 上午 12:00:00</v>
      </c>
      <c r="F474" t="str">
        <f>"A1"</f>
        <v>A1</v>
      </c>
    </row>
    <row r="475" spans="1:6" ht="16.5">
      <c r="A475" t="str">
        <f>"AA008025769"</f>
        <v>AA008025769</v>
      </c>
      <c r="B475" t="str">
        <f>"聖昕營養科技股份有限公司 廠房新建工程"</f>
        <v>聖昕營養科技股份有限公司 廠房新建工程</v>
      </c>
      <c r="C475" t="str">
        <f>"(108)南工造字第00388號"</f>
        <v>(108)南工造字第00388號</v>
      </c>
      <c r="D475" t="str">
        <f>"108/10/02"</f>
        <v>108/10/02</v>
      </c>
      <c r="E475" t="str">
        <f>"2019/10/1 上午 12:00:00"</f>
        <v>2019/10/1 上午 12:00:00</v>
      </c>
      <c r="F475" t="s">
        <v>13</v>
      </c>
    </row>
    <row r="476" spans="1:6" ht="16.5">
      <c r="A476" t="str">
        <f>"AA008027623"</f>
        <v>AA008027623</v>
      </c>
      <c r="B476" t="str">
        <f>"C1、C2、C3金大東建設主商段集合住宅新建工程(32戶)-變更設計"</f>
        <v>C1、C2、C3金大東建設主商段集合住宅新建工程(32戶)-變更設計</v>
      </c>
      <c r="C476" t="str">
        <f>"花建執照字第106A0220-01號"</f>
        <v>花建執照字第106A0220-01號</v>
      </c>
      <c r="D476" t="str">
        <f>"108/10/05"</f>
        <v>108/10/05</v>
      </c>
      <c r="E476" t="str">
        <f>"2019/9/17 上午 12:00:00"</f>
        <v>2019/9/17 上午 12:00:00</v>
      </c>
      <c r="F476" t="s">
        <v>13</v>
      </c>
    </row>
    <row r="477" spans="1:6" ht="16.5">
      <c r="A477" t="str">
        <f>"AA008030307"</f>
        <v>AA008030307</v>
      </c>
      <c r="B477" t="str">
        <f>"陳玉雲 等2人 蘆竹區富竹段 廢棄物處理廠新建工程"</f>
        <v>陳玉雲 等2人 蘆竹區富竹段 廢棄物處理廠新建工程</v>
      </c>
      <c r="C477" t="str">
        <f>"(108)桃市都建執照字第會蘆00211號"</f>
        <v>(108)桃市都建執照字第會蘆00211號</v>
      </c>
      <c r="D477" t="str">
        <f>"108/10/29"</f>
        <v>108/10/29</v>
      </c>
      <c r="E477" t="str">
        <f>"2019/10/17 上午 12:00:00"</f>
        <v>2019/10/17 上午 12:00:00</v>
      </c>
      <c r="F477" t="str">
        <f>"C1"</f>
        <v>C1</v>
      </c>
    </row>
    <row r="478" spans="1:6" ht="16.5">
      <c r="A478" t="str">
        <f>"AA008031652"</f>
        <v>AA008031652</v>
      </c>
      <c r="B478" t="str">
        <f>"許晉維、許晉豪3F2戶住宅新建工程"</f>
        <v>許晉維、許晉豪3F2戶住宅新建工程</v>
      </c>
      <c r="C478" t="str">
        <f>"(108)南工造字第00669~00670號"</f>
        <v>(108)南工造字第00669~00670號</v>
      </c>
      <c r="D478" t="str">
        <f>"108/10/29"</f>
        <v>108/10/29</v>
      </c>
      <c r="E478" t="str">
        <f>"2019/10/29 上午 12:00:00"</f>
        <v>2019/10/29 上午 12:00:00</v>
      </c>
      <c r="F478" t="str">
        <f aca="true" t="shared" si="6" ref="F478:F483">"A1"</f>
        <v>A1</v>
      </c>
    </row>
    <row r="479" spans="1:6" ht="16.5">
      <c r="A479" t="str">
        <f>"AA008034450"</f>
        <v>AA008034450</v>
      </c>
      <c r="B479" t="str">
        <f>"方宥程1FX1戶住宅新建工程"</f>
        <v>方宥程1FX1戶住宅新建工程</v>
      </c>
      <c r="C479" t="str">
        <f>"(108)南工造字第00813號"</f>
        <v>(108)南工造字第00813號</v>
      </c>
      <c r="D479" t="str">
        <f>"108/10/02"</f>
        <v>108/10/02</v>
      </c>
      <c r="E479" t="str">
        <f>"2019/10/2 上午 12:00:00"</f>
        <v>2019/10/2 上午 12:00:00</v>
      </c>
      <c r="F479" t="str">
        <f t="shared" si="6"/>
        <v>A1</v>
      </c>
    </row>
    <row r="480" spans="1:6" ht="16.5">
      <c r="A480" t="str">
        <f>"AA008034863"</f>
        <v>AA008034863</v>
      </c>
      <c r="B480" t="str">
        <f>"慶翰建設有限公司 負責人:陳正利等2戶住宅新建工程"</f>
        <v>慶翰建設有限公司 負責人:陳正利等2戶住宅新建工程</v>
      </c>
      <c r="C480" t="str">
        <f>"(108)南工造字第00698~00699號"</f>
        <v>(108)南工造字第00698~00699號</v>
      </c>
      <c r="D480" t="str">
        <f>"108/10/22"</f>
        <v>108/10/22</v>
      </c>
      <c r="E480" t="str">
        <f>"2019/10/22 上午 12:00:00"</f>
        <v>2019/10/22 上午 12:00:00</v>
      </c>
      <c r="F480" t="str">
        <f t="shared" si="6"/>
        <v>A1</v>
      </c>
    </row>
    <row r="481" spans="1:6" ht="16.5">
      <c r="A481" t="str">
        <f>"AA008036450"</f>
        <v>AA008036450</v>
      </c>
      <c r="B481" t="str">
        <f>"高齊建設有限公司    住宅新建工程"</f>
        <v>高齊建設有限公司    住宅新建工程</v>
      </c>
      <c r="C481" t="str">
        <f>"(108)桃市都建執照字第會觀00261、00262號"</f>
        <v>(108)桃市都建執照字第會觀00261、00262號</v>
      </c>
      <c r="D481" t="str">
        <f>"108/10/28"</f>
        <v>108/10/28</v>
      </c>
      <c r="E481" t="str">
        <f>"2019/10/25 上午 12:00:00"</f>
        <v>2019/10/25 上午 12:00:00</v>
      </c>
      <c r="F481" t="str">
        <f t="shared" si="6"/>
        <v>A1</v>
      </c>
    </row>
    <row r="482" spans="1:6" ht="16.5">
      <c r="A482" t="str">
        <f>"AA008037953"</f>
        <v>AA008037953</v>
      </c>
      <c r="B482" t="str">
        <f>"龔國文店鋪住宅新建工程"</f>
        <v>龔國文店鋪住宅新建工程</v>
      </c>
      <c r="C482" t="str">
        <f>"(108)高市工建築字第00561號"</f>
        <v>(108)高市工建築字第00561號</v>
      </c>
      <c r="D482" t="str">
        <f>"108/10/18"</f>
        <v>108/10/18</v>
      </c>
      <c r="E482" t="str">
        <f>"2019/10/17 上午 12:00:00"</f>
        <v>2019/10/17 上午 12:00:00</v>
      </c>
      <c r="F482" t="str">
        <f t="shared" si="6"/>
        <v>A1</v>
      </c>
    </row>
    <row r="483" spans="1:6" ht="16.5">
      <c r="A483" t="str">
        <f>"AA008039083"</f>
        <v>AA008039083</v>
      </c>
      <c r="B483" t="str">
        <f>"蔡銘宏1F1戶住宅新建工程"</f>
        <v>蔡銘宏1F1戶住宅新建工程</v>
      </c>
      <c r="C483" t="str">
        <f>"(108)南工造字第00141號"</f>
        <v>(108)南工造字第00141號</v>
      </c>
      <c r="D483" t="str">
        <f>"108/10/29"</f>
        <v>108/10/29</v>
      </c>
      <c r="E483" t="str">
        <f>"2019/10/29 上午 12:00:00"</f>
        <v>2019/10/29 上午 12:00:00</v>
      </c>
      <c r="F483" t="str">
        <f t="shared" si="6"/>
        <v>A1</v>
      </c>
    </row>
    <row r="484" spans="1:6" ht="16.5">
      <c r="A484" t="str">
        <f>"AA008042589"</f>
        <v>AA008042589</v>
      </c>
      <c r="B484" t="str">
        <f>"吳士暐工廠新建工程(第2次變更)"</f>
        <v>吳士暐工廠新建工程(第2次變更)</v>
      </c>
      <c r="C484" t="str">
        <f>"105.10.7建管建字第00566號"</f>
        <v>105.10.7建管建字第00566號</v>
      </c>
      <c r="D484" t="str">
        <f>"108/10/30"</f>
        <v>108/10/30</v>
      </c>
      <c r="E484" t="str">
        <f>"2019/10/18 上午 12:00:00"</f>
        <v>2019/10/18 上午 12:00:00</v>
      </c>
      <c r="F484" t="str">
        <f>"C1"</f>
        <v>C1</v>
      </c>
    </row>
    <row r="485" spans="1:6" ht="16.5">
      <c r="A485" t="str">
        <f>"AA008044742"</f>
        <v>AA008044742</v>
      </c>
      <c r="B485" t="str">
        <f>"C1 全聯實業股份有限公司店舖新建工程(B戶)"</f>
        <v>C1 全聯實業股份有限公司店舖新建工程(B戶)</v>
      </c>
      <c r="C485" t="str">
        <f>"(108)栗商建通建字第00014號"</f>
        <v>(108)栗商建通建字第00014號</v>
      </c>
      <c r="D485" t="str">
        <f>"108/10/07"</f>
        <v>108/10/07</v>
      </c>
      <c r="E485" t="str">
        <f>"2019/10/7 上午 12:00:00"</f>
        <v>2019/10/7 上午 12:00:00</v>
      </c>
      <c r="F485" t="str">
        <f>"C1"</f>
        <v>C1</v>
      </c>
    </row>
    <row r="486" spans="1:6" ht="16.5">
      <c r="A486" t="str">
        <f>"AA008047593"</f>
        <v>AA008047593</v>
      </c>
      <c r="B486" t="str">
        <f>"B1 何昌明等店鋪新建工程"</f>
        <v>B1 何昌明等店鋪新建工程</v>
      </c>
      <c r="C486" t="str">
        <f>"108中都建字第00490號"</f>
        <v>108中都建字第00490號</v>
      </c>
      <c r="D486" t="str">
        <f>"108/10/15"</f>
        <v>108/10/15</v>
      </c>
      <c r="E486" t="str">
        <f>"2019/10/15 上午 12:00:00"</f>
        <v>2019/10/15 上午 12:00:00</v>
      </c>
      <c r="F486" t="str">
        <f>"B1"</f>
        <v>B1</v>
      </c>
    </row>
    <row r="487" spans="1:6" ht="16.5">
      <c r="A487" t="str">
        <f>"AA008050499"</f>
        <v>AA008050499</v>
      </c>
      <c r="B487" t="str">
        <f>"A1-曾華志住宅新建工程"</f>
        <v>A1-曾華志住宅新建工程</v>
      </c>
      <c r="C487" t="str">
        <f>"(108)嘉布鎮建字第0006號"</f>
        <v>(108)嘉布鎮建字第0006號</v>
      </c>
      <c r="D487" t="str">
        <f>"108/10/21"</f>
        <v>108/10/21</v>
      </c>
      <c r="E487" t="str">
        <f>"2019/10/21 上午 12:00:00"</f>
        <v>2019/10/21 上午 12:00:00</v>
      </c>
      <c r="F487" t="str">
        <f>"A1"</f>
        <v>A1</v>
      </c>
    </row>
    <row r="488" spans="1:6" ht="16.5">
      <c r="A488" t="str">
        <f>"AA008050533"</f>
        <v>AA008050533</v>
      </c>
      <c r="B488" t="str">
        <f>"B1x3 饒志成等三戶店舖新建工程"</f>
        <v>B1x3 饒志成等三戶店舖新建工程</v>
      </c>
      <c r="C488" t="str">
        <f>"108中都建字第00717~00719號"</f>
        <v>108中都建字第00717~00719號</v>
      </c>
      <c r="D488" t="str">
        <f>"108/10/21"</f>
        <v>108/10/21</v>
      </c>
      <c r="E488" t="str">
        <f>"2019/10/21 上午 12:00:00"</f>
        <v>2019/10/21 上午 12:00:00</v>
      </c>
      <c r="F488" t="str">
        <f>"B1"</f>
        <v>B1</v>
      </c>
    </row>
    <row r="489" spans="1:6" ht="16.5">
      <c r="A489" t="str">
        <f>"AA008050891"</f>
        <v>AA008050891</v>
      </c>
      <c r="B489" t="str">
        <f>"陳誠實(1Fx1戶)店舖　新建工程"</f>
        <v>陳誠實(1Fx1戶)店舖　新建工程</v>
      </c>
      <c r="C489" t="str">
        <f>"(107)南工造字第02871-01號"</f>
        <v>(107)南工造字第02871-01號</v>
      </c>
      <c r="D489" t="str">
        <f>"108/10/30"</f>
        <v>108/10/30</v>
      </c>
      <c r="E489" t="str">
        <f>"2019/10/25 上午 12:00:00"</f>
        <v>2019/10/25 上午 12:00:00</v>
      </c>
      <c r="F489" t="str">
        <f>"B1"</f>
        <v>B1</v>
      </c>
    </row>
    <row r="490" spans="1:6" ht="16.5">
      <c r="A490" t="str">
        <f>"AA008052414"</f>
        <v>AA008052414</v>
      </c>
      <c r="B490" t="str">
        <f>"永覲工業(股)中林子段中控室、雜項工作物新建工程"</f>
        <v>永覲工業(股)中林子段中控室、雜項工作物新建工程</v>
      </c>
      <c r="C490" t="str">
        <f>"(108)高市工建築字第00736號"</f>
        <v>(108)高市工建築字第00736號</v>
      </c>
      <c r="D490" t="str">
        <f>"108/10/29"</f>
        <v>108/10/29</v>
      </c>
      <c r="E490" t="str">
        <f>"2019/10/25 上午 12:00:00"</f>
        <v>2019/10/25 上午 12:00:00</v>
      </c>
      <c r="F490" t="str">
        <f>"C1"</f>
        <v>C1</v>
      </c>
    </row>
    <row r="491" spans="1:6" ht="16.5">
      <c r="A491" t="str">
        <f>"AA008053713"</f>
        <v>AA008053713</v>
      </c>
      <c r="B491" t="str">
        <f>"張俊烊2F1戶住宅新建工程"</f>
        <v>張俊烊2F1戶住宅新建工程</v>
      </c>
      <c r="C491" t="str">
        <f>"(108)南工造字第01305號"</f>
        <v>(108)南工造字第01305號</v>
      </c>
      <c r="D491" t="str">
        <f>"108/10/29"</f>
        <v>108/10/29</v>
      </c>
      <c r="E491" t="str">
        <f>"2019/10/29 上午 12:00:00"</f>
        <v>2019/10/29 上午 12:00:00</v>
      </c>
      <c r="F491" t="str">
        <f>"A1"</f>
        <v>A1</v>
      </c>
    </row>
    <row r="492" spans="1:6" ht="16.5">
      <c r="A492" t="str">
        <f>"AA008053975"</f>
        <v>AA008053975</v>
      </c>
      <c r="B492" t="str">
        <f>"A1-江連春住宅新建工程"</f>
        <v>A1-江連春住宅新建工程</v>
      </c>
      <c r="C492" t="str">
        <f>"(108)嘉水鄉建執字第00018號"</f>
        <v>(108)嘉水鄉建執字第00018號</v>
      </c>
      <c r="D492" t="str">
        <f>"108/10/29"</f>
        <v>108/10/29</v>
      </c>
      <c r="E492" t="str">
        <f>"2019/10/28 上午 12:00:00"</f>
        <v>2019/10/28 上午 12:00:00</v>
      </c>
      <c r="F492" t="str">
        <f>"A1"</f>
        <v>A1</v>
      </c>
    </row>
    <row r="493" spans="1:6" ht="16.5">
      <c r="A493" t="str">
        <f>"AA008059699"</f>
        <v>AA008059699</v>
      </c>
      <c r="B493" t="str">
        <f>"祥君建設有限公司住宅新建工程"</f>
        <v>祥君建設有限公司住宅新建工程</v>
      </c>
      <c r="C493" t="str">
        <f>"(106)栗商建公建字第00031~00033號"</f>
        <v>(106)栗商建公建字第00031~00033號</v>
      </c>
      <c r="D493" t="str">
        <f>"108/10/21"</f>
        <v>108/10/21</v>
      </c>
      <c r="E493" t="str">
        <f>"2019/10/8 上午 12:00:00"</f>
        <v>2019/10/8 上午 12:00:00</v>
      </c>
      <c r="F493" t="s">
        <v>7</v>
      </c>
    </row>
    <row r="494" spans="1:6" ht="16.5">
      <c r="A494" t="str">
        <f>"AA008061528"</f>
        <v>AA008061528</v>
      </c>
      <c r="B494" t="str">
        <f>"蔡昱祥1F1戶住宅新建工程"</f>
        <v>蔡昱祥1F1戶住宅新建工程</v>
      </c>
      <c r="C494" t="str">
        <f>"(108)南工造字第01527號"</f>
        <v>(108)南工造字第01527號</v>
      </c>
      <c r="D494" t="str">
        <f>"108/10/31"</f>
        <v>108/10/31</v>
      </c>
      <c r="E494" t="str">
        <f>"2019/10/31 上午 12:00:00"</f>
        <v>2019/10/31 上午 12:00:00</v>
      </c>
      <c r="F494" t="str">
        <f>"A1"</f>
        <v>A1</v>
      </c>
    </row>
    <row r="495" spans="1:6" ht="16.5">
      <c r="A495" t="str">
        <f>"AA008062263"</f>
        <v>AA008062263</v>
      </c>
      <c r="B495" t="str">
        <f>"曾俊欽店舖"</f>
        <v>曾俊欽店舖</v>
      </c>
      <c r="C495" t="str">
        <f>"(108)南工造字第01552-01號"</f>
        <v>(108)南工造字第01552-01號</v>
      </c>
      <c r="D495" t="str">
        <f>"108/10/29"</f>
        <v>108/10/29</v>
      </c>
      <c r="E495" t="str">
        <f>"2019/10/29 上午 12:00:00"</f>
        <v>2019/10/29 上午 12:00:00</v>
      </c>
      <c r="F495" t="str">
        <f>"B1"</f>
        <v>B1</v>
      </c>
    </row>
    <row r="496" spans="1:6" ht="16.5">
      <c r="A496" t="str">
        <f>"AA008066428"</f>
        <v>AA008066428</v>
      </c>
      <c r="B496" t="str">
        <f>"B1、C2、C3羅馬建設國股段集合住宅新建工程(24戶)-變更設計"</f>
        <v>B1、C2、C3羅馬建設國股段集合住宅新建工程(24戶)-變更設計</v>
      </c>
      <c r="C496" t="str">
        <f>"花建執照字第106A0290-01號"</f>
        <v>花建執照字第106A0290-01號</v>
      </c>
      <c r="D496" t="str">
        <f>"108/10/17"</f>
        <v>108/10/17</v>
      </c>
      <c r="E496" t="str">
        <f>"2019/10/7 上午 12:00:00"</f>
        <v>2019/10/7 上午 12:00:00</v>
      </c>
      <c r="F496" t="s">
        <v>35</v>
      </c>
    </row>
    <row r="497" spans="1:6" ht="16.5">
      <c r="A497" t="str">
        <f>"AA008071683"</f>
        <v>AA008071683</v>
      </c>
      <c r="B497" t="str">
        <f>"謝柏毅 謝柏均店舖住宅"</f>
        <v>謝柏毅 謝柏均店舖住宅</v>
      </c>
      <c r="C497" t="str">
        <f>"(108)南工造字第02156號"</f>
        <v>(108)南工造字第02156號</v>
      </c>
      <c r="D497" t="str">
        <f>"108/10/23"</f>
        <v>108/10/23</v>
      </c>
      <c r="E497" t="str">
        <f>"2019/10/23 上午 12:00:00"</f>
        <v>2019/10/23 上午 12:00:00</v>
      </c>
      <c r="F497" t="str">
        <f>"A1"</f>
        <v>A1</v>
      </c>
    </row>
    <row r="498" spans="1:6" ht="16.5">
      <c r="A498" t="str">
        <f>"AA008074981"</f>
        <v>AA008074981</v>
      </c>
      <c r="B498" t="str">
        <f>"林素磬 地上1層1幢1棟1戶 住宅新建工程"</f>
        <v>林素磬 地上1層1幢1棟1戶 住宅新建工程</v>
      </c>
      <c r="C498" t="str">
        <f>"(108)南工造字第02045號"</f>
        <v>(108)南工造字第02045號</v>
      </c>
      <c r="D498" t="str">
        <f>"108/10/16"</f>
        <v>108/10/16</v>
      </c>
      <c r="E498" t="str">
        <f>"2019/10/16 上午 12:00:00"</f>
        <v>2019/10/16 上午 12:00:00</v>
      </c>
      <c r="F498" t="str">
        <f>"A1"</f>
        <v>A1</v>
      </c>
    </row>
    <row r="499" spans="1:6" ht="16.5">
      <c r="A499" t="str">
        <f>"AA008076742"</f>
        <v>AA008076742</v>
      </c>
      <c r="B499" t="str">
        <f>"A1 謝瑞木住宅新建工程"</f>
        <v>A1 謝瑞木住宅新建工程</v>
      </c>
      <c r="C499" t="str">
        <f>"(106)栗商建苑字第00167號"</f>
        <v>(106)栗商建苑字第00167號</v>
      </c>
      <c r="D499" t="str">
        <f>"108/10/05"</f>
        <v>108/10/05</v>
      </c>
      <c r="E499" t="str">
        <f>"2019/10/5 上午 12:00:00"</f>
        <v>2019/10/5 上午 12:00:00</v>
      </c>
      <c r="F499" t="str">
        <f>"A1"</f>
        <v>A1</v>
      </c>
    </row>
    <row r="500" spans="1:6" ht="16.5">
      <c r="A500" t="str">
        <f>"AA008077131"</f>
        <v>AA008077131</v>
      </c>
      <c r="B500" t="str">
        <f>"天林建設有限公司住宅新建工程"</f>
        <v>天林建設有限公司住宅新建工程</v>
      </c>
      <c r="C500" t="str">
        <f>"107栗商建通建字 第00018-00022號"</f>
        <v>107栗商建通建字 第00018-00022號</v>
      </c>
      <c r="D500" t="str">
        <f>"108/10/05"</f>
        <v>108/10/05</v>
      </c>
      <c r="E500" t="str">
        <f>"2019/10/5 上午 12:00:00"</f>
        <v>2019/10/5 上午 12:00:00</v>
      </c>
      <c r="F500" t="str">
        <f>"A1"</f>
        <v>A1</v>
      </c>
    </row>
    <row r="501" spans="1:6" ht="16.5">
      <c r="A501" t="str">
        <f>"AA008077258"</f>
        <v>AA008077258</v>
      </c>
      <c r="B501" t="str">
        <f>"羅燕男 (1Fx1戶)店舖"</f>
        <v>羅燕男 (1Fx1戶)店舖</v>
      </c>
      <c r="C501" t="str">
        <f>"(108)南工造字第 02158-01號"</f>
        <v>(108)南工造字第 02158-01號</v>
      </c>
      <c r="D501" t="str">
        <f>"108/10/28"</f>
        <v>108/10/28</v>
      </c>
      <c r="E501" t="str">
        <f>"2019/10/28 上午 12:00:00"</f>
        <v>2019/10/28 上午 12:00:00</v>
      </c>
      <c r="F501" t="str">
        <f>"B1"</f>
        <v>B1</v>
      </c>
    </row>
    <row r="502" spans="1:6" ht="16.5">
      <c r="A502" t="str">
        <f>"AA008083258"</f>
        <v>AA008083258</v>
      </c>
      <c r="B502" t="str">
        <f>"吳晨薇.劉惠蘭.江冠葆-住宅新建工程"</f>
        <v>吳晨薇.劉惠蘭.江冠葆-住宅新建工程</v>
      </c>
      <c r="C502" t="str">
        <f>"(108)(雲)營建字第00232、00234~00237號"</f>
        <v>(108)(雲)營建字第00232、00234~00237號</v>
      </c>
      <c r="D502" t="str">
        <f>"108/10/02"</f>
        <v>108/10/02</v>
      </c>
      <c r="E502" t="str">
        <f>"2019/10/2 上午 12:00:00"</f>
        <v>2019/10/2 上午 12:00:00</v>
      </c>
      <c r="F502" t="str">
        <f>"A1"</f>
        <v>A1</v>
      </c>
    </row>
    <row r="503" spans="1:6" ht="16.5">
      <c r="A503" t="str">
        <f>"AA008083713"</f>
        <v>AA008083713</v>
      </c>
      <c r="B503" t="str">
        <f>"蘇惠萍 住宅新建工程"</f>
        <v>蘇惠萍 住宅新建工程</v>
      </c>
      <c r="C503" t="str">
        <f>"(107)栗商建頭建字第00044號"</f>
        <v>(107)栗商建頭建字第00044號</v>
      </c>
      <c r="D503" t="str">
        <f>"108/10/21"</f>
        <v>108/10/21</v>
      </c>
      <c r="E503" t="str">
        <f>"2019/10/8 上午 12:00:00"</f>
        <v>2019/10/8 上午 12:00:00</v>
      </c>
      <c r="F503" t="str">
        <f>"A1"</f>
        <v>A1</v>
      </c>
    </row>
    <row r="504" spans="1:6" ht="16.5">
      <c r="A504" t="str">
        <f>"AA008083720"</f>
        <v>AA008083720</v>
      </c>
      <c r="B504" t="str">
        <f>"蘇惠萍 住宅新建工程"</f>
        <v>蘇惠萍 住宅新建工程</v>
      </c>
      <c r="C504" t="str">
        <f>" (107)栗商建頭建字第00045號"</f>
        <v> (107)栗商建頭建字第00045號</v>
      </c>
      <c r="D504" t="str">
        <f>"108/10/21"</f>
        <v>108/10/21</v>
      </c>
      <c r="E504" t="str">
        <f>"2019/10/8 上午 12:00:00"</f>
        <v>2019/10/8 上午 12:00:00</v>
      </c>
      <c r="F504" t="str">
        <f>"A1"</f>
        <v>A1</v>
      </c>
    </row>
    <row r="505" spans="1:6" ht="16.5">
      <c r="A505" t="str">
        <f>"AA008088575"</f>
        <v>AA008088575</v>
      </c>
      <c r="B505" t="str">
        <f>"何信毅等3人(1F×1戶)廠房新建工程"</f>
        <v>何信毅等3人(1F×1戶)廠房新建工程</v>
      </c>
      <c r="C505" t="str">
        <f>"(108)南工造字第02697號"</f>
        <v>(108)南工造字第02697號</v>
      </c>
      <c r="D505" t="str">
        <f>"108/10/29"</f>
        <v>108/10/29</v>
      </c>
      <c r="E505" t="str">
        <f>"2019/10/29 上午 12:00:00"</f>
        <v>2019/10/29 上午 12:00:00</v>
      </c>
      <c r="F505" t="str">
        <f>"B1"</f>
        <v>B1</v>
      </c>
    </row>
    <row r="506" spans="1:6" ht="16.5">
      <c r="A506" t="str">
        <f>"AA008089041"</f>
        <v>AA008089041</v>
      </c>
      <c r="B506" t="str">
        <f>"鉅矅建股(股)公司住宅停車空間新建工程"</f>
        <v>鉅矅建股(股)公司住宅停車空間新建工程</v>
      </c>
      <c r="C506" t="str">
        <f>"(108)南工造字第02419號"</f>
        <v>(108)南工造字第02419號</v>
      </c>
      <c r="D506" t="str">
        <f>"108/10/14"</f>
        <v>108/10/14</v>
      </c>
      <c r="E506" t="str">
        <f>"2019/10/14 上午 12:00:00"</f>
        <v>2019/10/14 上午 12:00:00</v>
      </c>
      <c r="F506" t="str">
        <f>"A1"</f>
        <v>A1</v>
      </c>
    </row>
    <row r="507" spans="1:6" ht="16.5">
      <c r="A507" t="str">
        <f>"AA008089540"</f>
        <v>AA008089540</v>
      </c>
      <c r="B507" t="str">
        <f>"A1-劉秋娟住宅新建工程"</f>
        <v>A1-劉秋娟住宅新建工程</v>
      </c>
      <c r="C507" t="str">
        <f>"108雲營建字第729號"</f>
        <v>108雲營建字第729號</v>
      </c>
      <c r="D507" t="str">
        <f>"108/10/09"</f>
        <v>108/10/09</v>
      </c>
      <c r="E507" t="str">
        <f>"2019/10/9 上午 12:00:00"</f>
        <v>2019/10/9 上午 12:00:00</v>
      </c>
      <c r="F507" t="str">
        <f>"A1"</f>
        <v>A1</v>
      </c>
    </row>
    <row r="508" spans="1:6" ht="16.5">
      <c r="A508" t="str">
        <f>"AA008092338"</f>
        <v>AA008092338</v>
      </c>
      <c r="B508" t="str">
        <f>"宏久企業社"</f>
        <v>宏久企業社</v>
      </c>
      <c r="C508" t="str">
        <f>"(108)南工造字第01518號"</f>
        <v>(108)南工造字第01518號</v>
      </c>
      <c r="D508" t="str">
        <f>"108/10/22"</f>
        <v>108/10/22</v>
      </c>
      <c r="E508" t="str">
        <f>"2019/10/22 上午 12:00:00"</f>
        <v>2019/10/22 上午 12:00:00</v>
      </c>
      <c r="F508" t="str">
        <f>"A1"</f>
        <v>A1</v>
      </c>
    </row>
    <row r="509" spans="1:6" ht="16.5">
      <c r="A509" t="str">
        <f>"AA008099401"</f>
        <v>AA008099401</v>
      </c>
      <c r="B509" t="str">
        <f>"A1-廖崇欽住宅新建工程"</f>
        <v>A1-廖崇欽住宅新建工程</v>
      </c>
      <c r="C509" t="str">
        <f>"（108）雲營建字第795號"</f>
        <v>（108）雲營建字第795號</v>
      </c>
      <c r="D509" t="str">
        <f>"108/10/29"</f>
        <v>108/10/29</v>
      </c>
      <c r="E509" t="str">
        <f>"2019/10/29 上午 12:00:00"</f>
        <v>2019/10/29 上午 12:00:00</v>
      </c>
      <c r="F509" t="str">
        <f>"A1"</f>
        <v>A1</v>
      </c>
    </row>
    <row r="510" spans="1:6" ht="16.5">
      <c r="A510" t="str">
        <f>"TY108099579"</f>
        <v>TY108099579</v>
      </c>
      <c r="B510" t="str">
        <f>"建迪企業 新屋區長祥段廠房新建工程"</f>
        <v>建迪企業 新屋區長祥段廠房新建工程</v>
      </c>
      <c r="C510" t="str">
        <f>"(106)桃市都建執照字第會屋00207號"</f>
        <v>(106)桃市都建執照字第會屋00207號</v>
      </c>
      <c r="D510" t="str">
        <f>"108/10/09"</f>
        <v>108/10/09</v>
      </c>
      <c r="E510" t="str">
        <f>"2019/8/6 上午 12:00:00"</f>
        <v>2019/8/6 上午 12:00:00</v>
      </c>
      <c r="F510" t="str">
        <f>"D1"</f>
        <v>D1</v>
      </c>
    </row>
    <row r="511" spans="1:6" ht="16.5">
      <c r="A511" t="str">
        <f>"AA008100593"</f>
        <v>AA008100593</v>
      </c>
      <c r="B511" t="str">
        <f>"昌聖建設集合住宅新建工程"</f>
        <v>昌聖建設集合住宅新建工程</v>
      </c>
      <c r="C511" t="str">
        <f>"(106)府建字第00632號"</f>
        <v>(106)府建字第00632號</v>
      </c>
      <c r="D511" t="str">
        <f>"108/10/30"</f>
        <v>108/10/30</v>
      </c>
      <c r="E511" t="str">
        <f>"2019/10/30 上午 12:00:00"</f>
        <v>2019/10/30 上午 12:00:00</v>
      </c>
      <c r="F511" t="s">
        <v>9</v>
      </c>
    </row>
    <row r="512" spans="1:6" ht="16.5">
      <c r="A512" t="str">
        <f>"AA008101472"</f>
        <v>AA008101472</v>
      </c>
      <c r="B512" t="str">
        <f>"雷啟元住宅新建工程 第一次變更設計"</f>
        <v>雷啟元住宅新建工程 第一次變更設計</v>
      </c>
      <c r="C512" t="str">
        <f>"(106)南工造字02636-02號"</f>
        <v>(106)南工造字02636-02號</v>
      </c>
      <c r="D512" t="str">
        <f>"108/10/07"</f>
        <v>108/10/07</v>
      </c>
      <c r="E512" t="str">
        <f>"2019/10/7 上午 12:00:00"</f>
        <v>2019/10/7 上午 12:00:00</v>
      </c>
      <c r="F512" t="str">
        <f>"A1"</f>
        <v>A1</v>
      </c>
    </row>
    <row r="513" spans="1:6" ht="16.5">
      <c r="A513" t="str">
        <f>"AA008103395"</f>
        <v>AA008103395</v>
      </c>
      <c r="B513" t="s">
        <v>36</v>
      </c>
      <c r="C513" t="str">
        <f>"106建字第0078號"</f>
        <v>106建字第0078號</v>
      </c>
      <c r="D513" t="str">
        <f>"108/10/03"</f>
        <v>108/10/03</v>
      </c>
      <c r="E513" t="str">
        <f>"2019/10/2 上午 12:00:00"</f>
        <v>2019/10/2 上午 12:00:00</v>
      </c>
      <c r="F513" t="s">
        <v>13</v>
      </c>
    </row>
    <row r="514" spans="1:6" ht="16.5">
      <c r="A514" t="str">
        <f>"TY108104857"</f>
        <v>TY108104857</v>
      </c>
      <c r="B514" t="str">
        <f>"新北市樹林區博愛段349地號店舖新建工程"</f>
        <v>新北市樹林區博愛段349地號店舖新建工程</v>
      </c>
      <c r="C514" t="str">
        <f>"106樹建字第00041號"</f>
        <v>106樹建字第00041號</v>
      </c>
      <c r="D514" t="str">
        <f>"108/10/01"</f>
        <v>108/10/01</v>
      </c>
      <c r="E514" t="str">
        <f>"2019/8/21 上午 12:00:00"</f>
        <v>2019/8/21 上午 12:00:00</v>
      </c>
      <c r="F514" t="str">
        <f>"B1"</f>
        <v>B1</v>
      </c>
    </row>
    <row r="515" spans="1:6" ht="16.5">
      <c r="A515" t="str">
        <f>"TP308105540"</f>
        <v>TP308105540</v>
      </c>
      <c r="B515" t="str">
        <f>"郡鵬建設青平段拾壹層集合住宅新建工程"</f>
        <v>郡鵬建設青平段拾壹層集合住宅新建工程</v>
      </c>
      <c r="C515" t="str">
        <f>"(103)桃縣工建執照字第會壢01218-02號"</f>
        <v>(103)桃縣工建執照字第會壢01218-02號</v>
      </c>
      <c r="D515" t="str">
        <f>"108/10/28"</f>
        <v>108/10/28</v>
      </c>
      <c r="E515" t="str">
        <f>"2019/8/22 上午 12:00:00"</f>
        <v>2019/8/22 上午 12:00:00</v>
      </c>
      <c r="F515" t="str">
        <f>"C1"</f>
        <v>C1</v>
      </c>
    </row>
    <row r="516" spans="1:6" ht="16.5">
      <c r="A516" t="str">
        <f>"TP408107180"</f>
        <v>TP408107180</v>
      </c>
      <c r="B516" t="str">
        <f>"聖約翰科技大學倬雲游泳池附屬建築物暨機車停車場新建工程"</f>
        <v>聖約翰科技大學倬雲游泳池附屬建築物暨機車停車場新建工程</v>
      </c>
      <c r="C516" t="str">
        <f>"105淡建字第00227號"</f>
        <v>105淡建字第00227號</v>
      </c>
      <c r="D516" t="str">
        <f>"108/10/17"</f>
        <v>108/10/17</v>
      </c>
      <c r="E516" t="str">
        <f>"2019/8/23 上午 12:00:00"</f>
        <v>2019/8/23 上午 12:00:00</v>
      </c>
      <c r="F516" t="s">
        <v>37</v>
      </c>
    </row>
    <row r="517" spans="1:6" ht="16.5">
      <c r="A517" t="str">
        <f>"AA008110158"</f>
        <v>AA008110158</v>
      </c>
      <c r="B517" t="str">
        <f>"張妙如新港鄉住宅新建工程"</f>
        <v>張妙如新港鄉住宅新建工程</v>
      </c>
      <c r="C517" t="str">
        <f>"(106)嘉新鄉建字第0047號"</f>
        <v>(106)嘉新鄉建字第0047號</v>
      </c>
      <c r="D517" t="str">
        <f>"108/10/27"</f>
        <v>108/10/27</v>
      </c>
      <c r="E517" t="str">
        <f>"2019/10/24 上午 12:00:00"</f>
        <v>2019/10/24 上午 12:00:00</v>
      </c>
      <c r="F517" t="str">
        <f>"A1"</f>
        <v>A1</v>
      </c>
    </row>
    <row r="518" spans="1:6" ht="16.5">
      <c r="A518" t="str">
        <f>"AA008111708"</f>
        <v>AA008111708</v>
      </c>
      <c r="B518" t="str">
        <f>"傅苡嫙 住宅新建工程"</f>
        <v>傅苡嫙 住宅新建工程</v>
      </c>
      <c r="C518" t="str">
        <f>"(107)栗商建苗建字第00059號"</f>
        <v>(107)栗商建苗建字第00059號</v>
      </c>
      <c r="D518" t="str">
        <f>"108/10/21"</f>
        <v>108/10/21</v>
      </c>
      <c r="E518" t="str">
        <f>"2019/10/17 上午 12:00:00"</f>
        <v>2019/10/17 上午 12:00:00</v>
      </c>
      <c r="F518" t="str">
        <f>"A1"</f>
        <v>A1</v>
      </c>
    </row>
    <row r="519" spans="1:6" ht="16.5">
      <c r="A519" t="str">
        <f>"AA008111713"</f>
        <v>AA008111713</v>
      </c>
      <c r="B519" t="str">
        <f>"群居建設有限公司 住宅新建工程"</f>
        <v>群居建設有限公司 住宅新建工程</v>
      </c>
      <c r="C519" t="str">
        <f>"(107)栗商建苗建字第00058號"</f>
        <v>(107)栗商建苗建字第00058號</v>
      </c>
      <c r="D519" t="str">
        <f>"108/10/21"</f>
        <v>108/10/21</v>
      </c>
      <c r="E519" t="str">
        <f>"2019/10/17 上午 12:00:00"</f>
        <v>2019/10/17 上午 12:00:00</v>
      </c>
      <c r="F519" t="str">
        <f>"A1"</f>
        <v>A1</v>
      </c>
    </row>
    <row r="520" spans="1:6" ht="16.5">
      <c r="A520" t="str">
        <f>"TY108112265"</f>
        <v>TY108112265</v>
      </c>
      <c r="B520" t="str">
        <f>"翔帝建設有限公司 林修三新建工程"</f>
        <v>翔帝建設有限公司 林修三新建工程</v>
      </c>
      <c r="C520" t="str">
        <f>"(102)桃縣工建執照字第會園00216號"</f>
        <v>(102)桃縣工建執照字第會園00216號</v>
      </c>
      <c r="D520" t="str">
        <f>"108/10/21"</f>
        <v>108/10/21</v>
      </c>
      <c r="E520" t="str">
        <f>"2019/9/4 上午 12:00:00"</f>
        <v>2019/9/4 上午 12:00:00</v>
      </c>
      <c r="F520" t="str">
        <f>"C1"</f>
        <v>C1</v>
      </c>
    </row>
    <row r="521" spans="1:6" ht="16.5">
      <c r="A521" t="str">
        <f>"AA008112472"</f>
        <v>AA008112472</v>
      </c>
      <c r="B521" t="str">
        <f>"侑城建設-店舖、集合住宅新建工程"</f>
        <v>侑城建設-店舖、集合住宅新建工程</v>
      </c>
      <c r="C521" t="str">
        <f>"(105)高市工建築字第01525-01號"</f>
        <v>(105)高市工建築字第01525-01號</v>
      </c>
      <c r="D521" t="str">
        <f>"108/10/24"</f>
        <v>108/10/24</v>
      </c>
      <c r="E521" t="str">
        <f>"2019/10/23 上午 12:00:00"</f>
        <v>2019/10/23 上午 12:00:00</v>
      </c>
      <c r="F521" t="s">
        <v>27</v>
      </c>
    </row>
    <row r="522" spans="1:6" ht="16.5">
      <c r="A522" t="str">
        <f>"TY108113014"</f>
        <v>TY108113014</v>
      </c>
      <c r="B522" t="str">
        <f>"真耶穌教會桃園崎頂會堂新建工程"</f>
        <v>真耶穌教會桃園崎頂會堂新建工程</v>
      </c>
      <c r="C522" t="str">
        <f>"(104)桃市都建執照字第會溪01241號"</f>
        <v>(104)桃市都建執照字第會溪01241號</v>
      </c>
      <c r="D522" t="str">
        <f>"108/10/09"</f>
        <v>108/10/09</v>
      </c>
      <c r="E522" t="str">
        <f>"2019/9/5 上午 12:00:00"</f>
        <v>2019/9/5 上午 12:00:00</v>
      </c>
      <c r="F522" t="str">
        <f>"C1"</f>
        <v>C1</v>
      </c>
    </row>
    <row r="523" spans="1:6" ht="16.5">
      <c r="A523" t="str">
        <f>"TY108113820"</f>
        <v>TY108113820</v>
      </c>
      <c r="B523" t="str">
        <f>"金旺宏實業股份有限公司住宅新建工程"</f>
        <v>金旺宏實業股份有限公司住宅新建工程</v>
      </c>
      <c r="C523" t="str">
        <f>"(103)府工建字第00039號"</f>
        <v>(103)府工建字第00039號</v>
      </c>
      <c r="D523" t="str">
        <f>"108/10/09"</f>
        <v>108/10/09</v>
      </c>
      <c r="E523" t="str">
        <f>"2019/9/9 上午 12:00:00"</f>
        <v>2019/9/9 上午 12:00:00</v>
      </c>
      <c r="F523" t="s">
        <v>13</v>
      </c>
    </row>
    <row r="524" spans="1:6" ht="16.5">
      <c r="A524" t="str">
        <f>"HC108114669"</f>
        <v>HC108114669</v>
      </c>
      <c r="B524" t="str">
        <f>"旭盛開發有限公司蓮華段住宅新建工程"</f>
        <v>旭盛開發有限公司蓮華段住宅新建工程</v>
      </c>
      <c r="C524" t="str">
        <f>"(106)府建字 第00171號"</f>
        <v>(106)府建字 第00171號</v>
      </c>
      <c r="D524" t="str">
        <f>"108/10/03"</f>
        <v>108/10/03</v>
      </c>
      <c r="E524" t="str">
        <f>"2019/9/11 上午 12:00:00"</f>
        <v>2019/9/11 上午 12:00:00</v>
      </c>
      <c r="F524" t="s">
        <v>38</v>
      </c>
    </row>
    <row r="525" spans="1:6" ht="16.5">
      <c r="A525" t="str">
        <f>"AA008114713"</f>
        <v>AA008114713</v>
      </c>
      <c r="B525" t="str">
        <f>"A1-福智學校財團法人教室連接走廊新建工程(無電信設備)"</f>
        <v>A1-福智學校財團法人教室連接走廊新建工程(無電信設備)</v>
      </c>
      <c r="C525" t="str">
        <f>"(107)(雲)營建字第190號"</f>
        <v>(107)(雲)營建字第190號</v>
      </c>
      <c r="D525" t="str">
        <f>"108/10/04"</f>
        <v>108/10/04</v>
      </c>
      <c r="E525" t="str">
        <f>"2019/10/4 上午 12:00:00"</f>
        <v>2019/10/4 上午 12:00:00</v>
      </c>
      <c r="F525" t="str">
        <f>"A1"</f>
        <v>A1</v>
      </c>
    </row>
    <row r="526" spans="1:6" ht="16.5">
      <c r="A526" t="str">
        <f>"HC108114720"</f>
        <v>HC108114720</v>
      </c>
      <c r="B526" t="str">
        <f>"潤泓建設住宅新建工程"</f>
        <v>潤泓建設住宅新建工程</v>
      </c>
      <c r="C526" t="str">
        <f>"(107)府建字 第00092號"</f>
        <v>(107)府建字 第00092號</v>
      </c>
      <c r="D526" t="str">
        <f>"108/10/08"</f>
        <v>108/10/08</v>
      </c>
      <c r="E526" t="str">
        <f>"2019/9/11 上午 12:00:00"</f>
        <v>2019/9/11 上午 12:00:00</v>
      </c>
      <c r="F526" t="s">
        <v>39</v>
      </c>
    </row>
    <row r="527" spans="1:6" ht="16.5">
      <c r="A527" t="str">
        <f>"TP508114849"</f>
        <v>TP508114849</v>
      </c>
      <c r="B527" t="str">
        <f>"內湖區民權東路六段九層大樓新建工程"</f>
        <v>內湖區民權東路六段九層大樓新建工程</v>
      </c>
      <c r="C527" t="str">
        <f>"104建字第0137號"</f>
        <v>104建字第0137號</v>
      </c>
      <c r="D527" t="str">
        <f>"108/10/03"</f>
        <v>108/10/03</v>
      </c>
      <c r="E527" t="str">
        <f>"2019/9/10 上午 12:00:00"</f>
        <v>2019/9/10 上午 12:00:00</v>
      </c>
      <c r="F527" t="str">
        <f>"C1"</f>
        <v>C1</v>
      </c>
    </row>
    <row r="528" spans="1:6" ht="16.5">
      <c r="A528" t="str">
        <f>"AA008115998"</f>
        <v>AA008115998</v>
      </c>
      <c r="B528" t="str">
        <f>"徐芸蓮住宅新建工程"</f>
        <v>徐芸蓮住宅新建工程</v>
      </c>
      <c r="C528" t="str">
        <f>"(107)栗商建苑建字第00013號"</f>
        <v>(107)栗商建苑建字第00013號</v>
      </c>
      <c r="D528" t="str">
        <f>"108/10/21"</f>
        <v>108/10/21</v>
      </c>
      <c r="E528" t="str">
        <f>"2019/10/9 上午 12:00:00"</f>
        <v>2019/10/9 上午 12:00:00</v>
      </c>
      <c r="F528" t="str">
        <f>"A1"</f>
        <v>A1</v>
      </c>
    </row>
    <row r="529" spans="1:6" ht="16.5">
      <c r="A529" t="str">
        <f>"AA008116090"</f>
        <v>AA008116090</v>
      </c>
      <c r="B529" t="str">
        <f>"新順安建設有限公司住宅新建工程"</f>
        <v>新順安建設有限公司住宅新建工程</v>
      </c>
      <c r="C529" t="str">
        <f>"107栗商建苑建字第00016號"</f>
        <v>107栗商建苑建字第00016號</v>
      </c>
      <c r="D529" t="str">
        <f>"108/10/29"</f>
        <v>108/10/29</v>
      </c>
      <c r="E529" t="str">
        <f>"2019/10/24 上午 12:00:00"</f>
        <v>2019/10/24 上午 12:00:00</v>
      </c>
      <c r="F529" t="s">
        <v>13</v>
      </c>
    </row>
    <row r="530" spans="1:6" ht="16.5">
      <c r="A530" t="str">
        <f>"TY108116180"</f>
        <v>TY108116180</v>
      </c>
      <c r="B530" t="str">
        <f>"寶得利開發建設八德區茄明段住宅新建工程"</f>
        <v>寶得利開發建設八德區茄明段住宅新建工程</v>
      </c>
      <c r="C530" t="str">
        <f>"(106)桃市都建執照字第會德00539號"</f>
        <v>(106)桃市都建執照字第會德00539號</v>
      </c>
      <c r="D530" t="str">
        <f>"108/10/09"</f>
        <v>108/10/09</v>
      </c>
      <c r="E530" t="str">
        <f>"2019/9/16 上午 12:00:00"</f>
        <v>2019/9/16 上午 12:00:00</v>
      </c>
      <c r="F530" t="str">
        <f>"A1"</f>
        <v>A1</v>
      </c>
    </row>
    <row r="531" spans="1:6" ht="16.5">
      <c r="A531" t="str">
        <f>"AA008116348"</f>
        <v>AA008116348</v>
      </c>
      <c r="B531" t="str">
        <f>"侗盛建設股份有限公司 鶴子岡段4戶住宅新建工程"</f>
        <v>侗盛建設股份有限公司 鶴子岡段4戶住宅新建工程</v>
      </c>
      <c r="C531" t="str">
        <f>"(107)栗商建公建字第00033~00036號"</f>
        <v>(107)栗商建公建字第00033~00036號</v>
      </c>
      <c r="D531" t="str">
        <f>"108/10/21"</f>
        <v>108/10/21</v>
      </c>
      <c r="E531" t="str">
        <f>"2019/10/9 上午 12:00:00"</f>
        <v>2019/10/9 上午 12:00:00</v>
      </c>
      <c r="F531" t="s">
        <v>7</v>
      </c>
    </row>
    <row r="532" spans="1:6" ht="16.5">
      <c r="A532" t="str">
        <f>"AA008116353"</f>
        <v>AA008116353</v>
      </c>
      <c r="B532" t="str">
        <f>"侗盛建設股份有限公司 鶴子岡段集合住宅新建工程"</f>
        <v>侗盛建設股份有限公司 鶴子岡段集合住宅新建工程</v>
      </c>
      <c r="C532" t="str">
        <f>"(107)栗商建公建字第00008號"</f>
        <v>(107)栗商建公建字第00008號</v>
      </c>
      <c r="D532" t="str">
        <f>"108/10/21"</f>
        <v>108/10/21</v>
      </c>
      <c r="E532" t="str">
        <f>"2019/10/9 上午 12:00:00"</f>
        <v>2019/10/9 上午 12:00:00</v>
      </c>
      <c r="F532" t="s">
        <v>7</v>
      </c>
    </row>
    <row r="533" spans="1:6" ht="16.5">
      <c r="A533" t="str">
        <f>"AA008118348"</f>
        <v>AA008118348</v>
      </c>
      <c r="B533" t="str">
        <f>"揚捷國際有限公司 東田洋段店舖.住宅新建工程"</f>
        <v>揚捷國際有限公司 東田洋段店舖.住宅新建工程</v>
      </c>
      <c r="C533" t="str">
        <f>"(107)栗商建銅建字第00020號"</f>
        <v>(107)栗商建銅建字第00020號</v>
      </c>
      <c r="D533" t="str">
        <f>"108/10/21"</f>
        <v>108/10/21</v>
      </c>
      <c r="E533" t="str">
        <f>"2019/10/8 上午 12:00:00"</f>
        <v>2019/10/8 上午 12:00:00</v>
      </c>
      <c r="F533" t="str">
        <f>"B1"</f>
        <v>B1</v>
      </c>
    </row>
    <row r="534" spans="1:6" ht="16.5">
      <c r="A534" t="str">
        <f>"AA008118360"</f>
        <v>AA008118360</v>
      </c>
      <c r="B534" t="str">
        <f>"皇禾建設有限公司 公義段12戶住宅新建工程"</f>
        <v>皇禾建設有限公司 公義段12戶住宅新建工程</v>
      </c>
      <c r="C534" t="str">
        <f>"(106)栗商建竹建字第00123~00126號"</f>
        <v>(106)栗商建竹建字第00123~00126號</v>
      </c>
      <c r="D534" t="str">
        <f>"108/10/30"</f>
        <v>108/10/30</v>
      </c>
      <c r="E534" t="str">
        <f>"2019/10/29 上午 12:00:00"</f>
        <v>2019/10/29 上午 12:00:00</v>
      </c>
      <c r="F534" t="str">
        <f>"A1"</f>
        <v>A1</v>
      </c>
    </row>
    <row r="535" spans="1:6" ht="16.5">
      <c r="A535" t="str">
        <f>"AA008118708"</f>
        <v>AA008118708</v>
      </c>
      <c r="B535" t="str">
        <f>"陳能祥先生住宅新建工程"</f>
        <v>陳能祥先生住宅新建工程</v>
      </c>
      <c r="C535" t="str">
        <f>"103.3.3建管建字第00187號"</f>
        <v>103.3.3建管建字第00187號</v>
      </c>
      <c r="D535" t="str">
        <f>"108/10/02"</f>
        <v>108/10/02</v>
      </c>
      <c r="E535" t="str">
        <f>"2019/10/2 上午 12:00:00"</f>
        <v>2019/10/2 上午 12:00:00</v>
      </c>
      <c r="F535" t="str">
        <f>"A1"</f>
        <v>A1</v>
      </c>
    </row>
    <row r="536" spans="1:6" ht="16.5">
      <c r="A536" t="str">
        <f>"KH408119587"</f>
        <v>KH408119587</v>
      </c>
      <c r="B536" t="str">
        <f>"法務部行政執行署高雄分署辦公廳舍新建工程"</f>
        <v>法務部行政執行署高雄分署辦公廳舍新建工程</v>
      </c>
      <c r="C536" t="str">
        <f>"(104)高市工建築字第02751號"</f>
        <v>(104)高市工建築字第02751號</v>
      </c>
      <c r="D536" t="str">
        <f>"108/10/04"</f>
        <v>108/10/04</v>
      </c>
      <c r="E536" t="str">
        <f>"2019/10/3 上午 12:00:00"</f>
        <v>2019/10/3 上午 12:00:00</v>
      </c>
      <c r="F536" t="str">
        <f>"D1"</f>
        <v>D1</v>
      </c>
    </row>
    <row r="537" spans="1:6" ht="16.5">
      <c r="A537" t="str">
        <f>"AA008119618"</f>
        <v>AA008119618</v>
      </c>
      <c r="B537" t="str">
        <f>"侗盛建設股份有限公司 鶴子岡段4戶住宅新建工程"</f>
        <v>侗盛建設股份有限公司 鶴子岡段4戶住宅新建工程</v>
      </c>
      <c r="C537" t="str">
        <f>"(107)栗商建公建字第00056~00059號"</f>
        <v>(107)栗商建公建字第00056~00059號</v>
      </c>
      <c r="D537" t="str">
        <f>"108/10/21"</f>
        <v>108/10/21</v>
      </c>
      <c r="E537" t="str">
        <f>"2019/10/9 上午 12:00:00"</f>
        <v>2019/10/9 上午 12:00:00</v>
      </c>
      <c r="F537" t="s">
        <v>7</v>
      </c>
    </row>
    <row r="538" spans="1:6" ht="16.5">
      <c r="A538" t="str">
        <f>"TC108119669"</f>
        <v>TC108119669</v>
      </c>
      <c r="B538" t="str">
        <f>"E1櫻花建設太平區育賢段店鋪.集合住宅新建工程"</f>
        <v>E1櫻花建設太平區育賢段店鋪.集合住宅新建工程</v>
      </c>
      <c r="C538" t="str">
        <f>"105中都建字第2268號"</f>
        <v>105中都建字第2268號</v>
      </c>
      <c r="D538" t="str">
        <f>"108/10/01"</f>
        <v>108/10/01</v>
      </c>
      <c r="E538" t="str">
        <f>"2019/9/24 上午 12:00:00"</f>
        <v>2019/9/24 上午 12:00:00</v>
      </c>
      <c r="F538" t="s">
        <v>12</v>
      </c>
    </row>
    <row r="539" spans="1:6" ht="16.5">
      <c r="A539" t="str">
        <f>"TP308120370"</f>
        <v>TP308120370</v>
      </c>
      <c r="B539" t="str">
        <f>"僑府興建設汐止福興段集合住宅新建工程"</f>
        <v>僑府興建設汐止福興段集合住宅新建工程</v>
      </c>
      <c r="C539" t="str">
        <f>"104汐建字第00624號"</f>
        <v>104汐建字第00624號</v>
      </c>
      <c r="D539" t="str">
        <f>"108/10/05"</f>
        <v>108/10/05</v>
      </c>
      <c r="E539" t="str">
        <f>"2019/9/24 上午 12:00:00"</f>
        <v>2019/9/24 上午 12:00:00</v>
      </c>
      <c r="F539" t="str">
        <f>"D1"</f>
        <v>D1</v>
      </c>
    </row>
    <row r="540" spans="1:6" ht="16.5">
      <c r="A540" t="str">
        <f>"TC108120900"</f>
        <v>TC108120900</v>
      </c>
      <c r="B540" t="str">
        <f>"A1賴彥中住宅新建工程"</f>
        <v>A1賴彥中住宅新建工程</v>
      </c>
      <c r="C540" t="str">
        <f>"106中都建字第935號"</f>
        <v>106中都建字第935號</v>
      </c>
      <c r="D540" t="str">
        <f>"108/10/02"</f>
        <v>108/10/02</v>
      </c>
      <c r="E540" t="str">
        <f>"2019/10/2 上午 12:00:00"</f>
        <v>2019/10/2 上午 12:00:00</v>
      </c>
      <c r="F540" t="str">
        <f>"A1"</f>
        <v>A1</v>
      </c>
    </row>
    <row r="541" spans="1:6" ht="16.5">
      <c r="A541" t="str">
        <f>"TP508120979"</f>
        <v>TP508120979</v>
      </c>
      <c r="B541" t="str">
        <f>"桃園市楊梅區永楊段828地號(新逍遙園譯經院)"</f>
        <v>桃園市楊梅區永楊段828地號(新逍遙園譯經院)</v>
      </c>
      <c r="C541" t="str">
        <f>"105桃市都建執照字第會楊00454號"</f>
        <v>105桃市都建執照字第會楊00454號</v>
      </c>
      <c r="D541" t="str">
        <f>"108/10/03"</f>
        <v>108/10/03</v>
      </c>
      <c r="E541" t="str">
        <f>"2019/9/25 上午 12:00:00"</f>
        <v>2019/9/25 上午 12:00:00</v>
      </c>
      <c r="F541" t="str">
        <f>"C1"</f>
        <v>C1</v>
      </c>
    </row>
    <row r="542" spans="1:6" ht="16.5">
      <c r="A542" t="str">
        <f>"TC108121155"</f>
        <v>TC108121155</v>
      </c>
      <c r="B542" t="str">
        <f>"C1達莉事業(股)公司南屯區大新段集合住宅新建工程"</f>
        <v>C1達莉事業(股)公司南屯區大新段集合住宅新建工程</v>
      </c>
      <c r="C542" t="str">
        <f>"105中都建字第2265號"</f>
        <v>105中都建字第2265號</v>
      </c>
      <c r="D542" t="str">
        <f>"108/10/03"</f>
        <v>108/10/03</v>
      </c>
      <c r="E542" t="str">
        <f>"2019/9/26 上午 12:00:00"</f>
        <v>2019/9/26 上午 12:00:00</v>
      </c>
      <c r="F542" t="s">
        <v>13</v>
      </c>
    </row>
    <row r="543" spans="1:6" ht="16.5">
      <c r="A543" t="str">
        <f>"TY108121190"</f>
        <v>TY108121190</v>
      </c>
      <c r="B543" t="str">
        <f>"戴曾玉蘭桃園市龍潭區建國段518-2地號農舍新建工程"</f>
        <v>戴曾玉蘭桃園市龍潭區建國段518-2地號農舍新建工程</v>
      </c>
      <c r="C543" t="str">
        <f>"(103)龍鄉工區農執照字第00712號"</f>
        <v>(103)龍鄉工區農執照字第00712號</v>
      </c>
      <c r="D543" t="str">
        <f>"108/10/01"</f>
        <v>108/10/01</v>
      </c>
      <c r="E543" t="str">
        <f>"2019/9/26 上午 12:00:00"</f>
        <v>2019/9/26 上午 12:00:00</v>
      </c>
      <c r="F543" t="str">
        <f>"A1"</f>
        <v>A1</v>
      </c>
    </row>
    <row r="544" spans="1:6" ht="16.5">
      <c r="A544" t="str">
        <f>"TY108121212"</f>
        <v>TY108121212</v>
      </c>
      <c r="B544" t="str">
        <f>"桃園龍潭區建國段農舍新建工程"</f>
        <v>桃園龍潭區建國段農舍新建工程</v>
      </c>
      <c r="C544" t="str">
        <f>"(102)龍鄉工區農執照字第00693等11筆"</f>
        <v>(102)龍鄉工區農執照字第00693等11筆</v>
      </c>
      <c r="D544" t="str">
        <f>"108/10/01"</f>
        <v>108/10/01</v>
      </c>
      <c r="E544" t="str">
        <f>"2019/9/26 上午 12:00:00"</f>
        <v>2019/9/26 上午 12:00:00</v>
      </c>
      <c r="F544" t="str">
        <f>"A1"</f>
        <v>A1</v>
      </c>
    </row>
    <row r="545" spans="1:6" ht="16.5">
      <c r="A545" t="str">
        <f>"TY108121425"</f>
        <v>TY108121425</v>
      </c>
      <c r="B545" t="str">
        <f>"住宅店鋪"</f>
        <v>住宅店鋪</v>
      </c>
      <c r="C545" t="str">
        <f>"(106)桃市都建執照字第會園00061號"</f>
        <v>(106)桃市都建執照字第會園00061號</v>
      </c>
      <c r="D545" t="str">
        <f>"108/10/09"</f>
        <v>108/10/09</v>
      </c>
      <c r="E545" t="str">
        <f>"2019/9/26 上午 12:00:00"</f>
        <v>2019/9/26 上午 12:00:00</v>
      </c>
      <c r="F545" t="str">
        <f>"B1"</f>
        <v>B1</v>
      </c>
    </row>
    <row r="546" spans="1:6" ht="16.5">
      <c r="A546" t="str">
        <f>"TC208121497"</f>
        <v>TC208121497</v>
      </c>
      <c r="B546" t="str">
        <f>"B1 元拓建設有限公司住宅新建工程"</f>
        <v>B1 元拓建設有限公司住宅新建工程</v>
      </c>
      <c r="C546" t="str">
        <f>"106中都建字第00638號"</f>
        <v>106中都建字第00638號</v>
      </c>
      <c r="D546" t="str">
        <f>"108/10/07"</f>
        <v>108/10/07</v>
      </c>
      <c r="E546" t="str">
        <f>"2019/10/1 上午 12:00:00"</f>
        <v>2019/10/1 上午 12:00:00</v>
      </c>
      <c r="F546" t="str">
        <f>"B1"</f>
        <v>B1</v>
      </c>
    </row>
    <row r="547" spans="1:6" ht="16.5">
      <c r="A547" t="str">
        <f>"YL108121687"</f>
        <v>YL108121687</v>
      </c>
      <c r="B547" t="str">
        <f>"A1-台塑石化公用三廠淨水區新建工程(無電信設備)"</f>
        <v>A1-台塑石化公用三廠淨水區新建工程(無電信設備)</v>
      </c>
      <c r="C547" t="str">
        <f>"(108)(雲)營建字第798號"</f>
        <v>(108)(雲)營建字第798號</v>
      </c>
      <c r="D547" t="str">
        <f>"108/10/15"</f>
        <v>108/10/15</v>
      </c>
      <c r="E547" t="str">
        <f>"2019/10/15 上午 12:00:00"</f>
        <v>2019/10/15 上午 12:00:00</v>
      </c>
      <c r="F547" t="str">
        <f>"A1"</f>
        <v>A1</v>
      </c>
    </row>
    <row r="548" spans="1:6" ht="16.5">
      <c r="A548" t="str">
        <f>"HC108121924"</f>
        <v>HC108121924</v>
      </c>
      <c r="B548" t="str">
        <f>"韋創建設有限公司新建社區日用品零售住宅新建工程"</f>
        <v>韋創建設有限公司新建社區日用品零售住宅新建工程</v>
      </c>
      <c r="C548" t="str">
        <f>"(106)桃市都建執照字第會觀01046號"</f>
        <v>(106)桃市都建執照字第會觀01046號</v>
      </c>
      <c r="D548" t="str">
        <f>"108/10/16"</f>
        <v>108/10/16</v>
      </c>
      <c r="E548" t="str">
        <f>"2019/9/27 上午 12:00:00"</f>
        <v>2019/9/27 上午 12:00:00</v>
      </c>
      <c r="F548" t="s">
        <v>9</v>
      </c>
    </row>
    <row r="549" spans="1:6" ht="16.5">
      <c r="A549" t="str">
        <f>"HC108121939"</f>
        <v>HC108121939</v>
      </c>
      <c r="B549" t="str">
        <f>"韋創建設有限公司新建社區日用品零售住宅新建工程"</f>
        <v>韋創建設有限公司新建社區日用品零售住宅新建工程</v>
      </c>
      <c r="C549" t="str">
        <f>"(106)桃市都建執照字第會觀01052號"</f>
        <v>(106)桃市都建執照字第會觀01052號</v>
      </c>
      <c r="D549" t="str">
        <f>"108/10/08"</f>
        <v>108/10/08</v>
      </c>
      <c r="E549" t="str">
        <f>"2019/9/27 上午 12:00:00"</f>
        <v>2019/9/27 上午 12:00:00</v>
      </c>
      <c r="F549" t="s">
        <v>9</v>
      </c>
    </row>
    <row r="550" spans="1:6" ht="16.5">
      <c r="A550" t="str">
        <f>"HC108121957"</f>
        <v>HC108121957</v>
      </c>
      <c r="B550" t="str">
        <f>"觀音區工業段二小段775-11地號住宅建新工程"</f>
        <v>觀音區工業段二小段775-11地號住宅建新工程</v>
      </c>
      <c r="C550" t="str">
        <f>"(107)桃市都建執照字第會觀00491號"</f>
        <v>(107)桃市都建執照字第會觀00491號</v>
      </c>
      <c r="D550" t="str">
        <f>"108/10/16"</f>
        <v>108/10/16</v>
      </c>
      <c r="E550" t="str">
        <f>"2019/9/30 上午 12:00:00"</f>
        <v>2019/9/30 上午 12:00:00</v>
      </c>
      <c r="F550" t="s">
        <v>9</v>
      </c>
    </row>
    <row r="551" spans="1:6" ht="16.5">
      <c r="A551" t="str">
        <f>"HC108121979"</f>
        <v>HC108121979</v>
      </c>
      <c r="B551" t="str">
        <f>"觀音工業區段二小段775地號等1筆住宅新建工程"</f>
        <v>觀音工業區段二小段775地號等1筆住宅新建工程</v>
      </c>
      <c r="C551" t="str">
        <f>"(107)桃市都建執照字第會觀00492號"</f>
        <v>(107)桃市都建執照字第會觀00492號</v>
      </c>
      <c r="D551" t="str">
        <f>"108/10/21"</f>
        <v>108/10/21</v>
      </c>
      <c r="E551" t="str">
        <f>"2019/9/27 上午 12:00:00"</f>
        <v>2019/9/27 上午 12:00:00</v>
      </c>
      <c r="F551" t="s">
        <v>9</v>
      </c>
    </row>
    <row r="552" spans="1:6" ht="16.5">
      <c r="A552" t="str">
        <f>"HC108121996"</f>
        <v>HC108121996</v>
      </c>
      <c r="B552" t="str">
        <f>"韋創建設有限公司新建工業社區住宅工程"</f>
        <v>韋創建設有限公司新建工業社區住宅工程</v>
      </c>
      <c r="C552" t="str">
        <f>"(106)桃市都建執照字第會觀01414號"</f>
        <v>(106)桃市都建執照字第會觀01414號</v>
      </c>
      <c r="D552" t="str">
        <f>"108/10/08"</f>
        <v>108/10/08</v>
      </c>
      <c r="E552" t="str">
        <f>"2019/9/27 上午 12:00:00"</f>
        <v>2019/9/27 上午 12:00:00</v>
      </c>
      <c r="F552" t="s">
        <v>9</v>
      </c>
    </row>
    <row r="553" spans="1:6" ht="16.5">
      <c r="A553" t="str">
        <f>"HC108122008"</f>
        <v>HC108122008</v>
      </c>
      <c r="B553" t="str">
        <f>"大崴建設股份有限公司住宅新建工程"</f>
        <v>大崴建設股份有限公司住宅新建工程</v>
      </c>
      <c r="C553" t="str">
        <f>"(104)桃市都建執照字第會觀00930號"</f>
        <v>(104)桃市都建執照字第會觀00930號</v>
      </c>
      <c r="D553" t="str">
        <f>"108/10/08"</f>
        <v>108/10/08</v>
      </c>
      <c r="E553" t="str">
        <f>"2019/9/27 上午 12:00:00"</f>
        <v>2019/9/27 上午 12:00:00</v>
      </c>
      <c r="F553" t="str">
        <f>"C1"</f>
        <v>C1</v>
      </c>
    </row>
    <row r="554" spans="1:6" ht="16.5">
      <c r="A554" t="str">
        <f>"TP608122256"</f>
        <v>TP608122256</v>
      </c>
      <c r="B554" t="str">
        <f>"張國昌新建三層農舍"</f>
        <v>張國昌新建三層農舍</v>
      </c>
      <c r="C554" t="str">
        <f>"105 桃市都建執照字第會壢00178號"</f>
        <v>105 桃市都建執照字第會壢00178號</v>
      </c>
      <c r="D554" t="str">
        <f>"108/10/04"</f>
        <v>108/10/04</v>
      </c>
      <c r="E554" t="str">
        <f>"2019/10/1 上午 12:00:00"</f>
        <v>2019/10/1 上午 12:00:00</v>
      </c>
      <c r="F554" t="str">
        <f>"A1"</f>
        <v>A1</v>
      </c>
    </row>
    <row r="555" spans="1:6" ht="16.5">
      <c r="A555" t="str">
        <f>"TP608122270"</f>
        <v>TP608122270</v>
      </c>
      <c r="B555" t="str">
        <f>"沈瑞蘭 中壢區山下段住宅新建工程"</f>
        <v>沈瑞蘭 中壢區山下段住宅新建工程</v>
      </c>
      <c r="C555" t="str">
        <f>"106桃市都建執照字第會壢00357號"</f>
        <v>106桃市都建執照字第會壢00357號</v>
      </c>
      <c r="D555" t="str">
        <f>"108/10/05"</f>
        <v>108/10/05</v>
      </c>
      <c r="E555" t="str">
        <f>"2019/10/1 上午 12:00:00"</f>
        <v>2019/10/1 上午 12:00:00</v>
      </c>
      <c r="F555" t="str">
        <f>"A1"</f>
        <v>A1</v>
      </c>
    </row>
    <row r="556" spans="1:6" ht="16.5">
      <c r="A556" t="str">
        <f>"TC208122715"</f>
        <v>TC208122715</v>
      </c>
      <c r="B556" t="s">
        <v>40</v>
      </c>
      <c r="C556" t="str">
        <f>"106中都建字第01112號"</f>
        <v>106中都建字第01112號</v>
      </c>
      <c r="D556" t="str">
        <f>"108/10/03"</f>
        <v>108/10/03</v>
      </c>
      <c r="E556" t="str">
        <f>"2019/10/1 上午 12:00:00"</f>
        <v>2019/10/1 上午 12:00:00</v>
      </c>
      <c r="F556" t="s">
        <v>13</v>
      </c>
    </row>
    <row r="557" spans="1:6" ht="16.5">
      <c r="A557" t="str">
        <f>"YL108122720"</f>
        <v>YL108122720</v>
      </c>
      <c r="B557" t="str">
        <f>"A1-台灣必成一廠501槽新建工程(無電信設備)"</f>
        <v>A1-台灣必成一廠501槽新建工程(無電信設備)</v>
      </c>
      <c r="C557" t="str">
        <f>"(108)嘉府經管雜執字第6號"</f>
        <v>(108)嘉府經管雜執字第6號</v>
      </c>
      <c r="D557" t="str">
        <f>"108/10/15"</f>
        <v>108/10/15</v>
      </c>
      <c r="E557" t="str">
        <f>"2019/10/15 上午 12:00:00"</f>
        <v>2019/10/15 上午 12:00:00</v>
      </c>
      <c r="F557" t="str">
        <f>"A1"</f>
        <v>A1</v>
      </c>
    </row>
    <row r="558" spans="1:6" ht="16.5">
      <c r="A558" t="str">
        <f>"CY108122788"</f>
        <v>CY108122788</v>
      </c>
      <c r="B558" t="str">
        <f>"D1-利勤實業股份有限公司石榴班區廠房新建工程"</f>
        <v>D1-利勤實業股份有限公司石榴班區廠房新建工程</v>
      </c>
      <c r="C558" t="str">
        <f>"(106)雲營建字第00371號"</f>
        <v>(106)雲營建字第00371號</v>
      </c>
      <c r="D558" t="str">
        <f>"108/10/01"</f>
        <v>108/10/01</v>
      </c>
      <c r="E558" t="str">
        <f>"2019/10/1 上午 12:00:00"</f>
        <v>2019/10/1 上午 12:00:00</v>
      </c>
      <c r="F558" t="str">
        <f>"D1"</f>
        <v>D1</v>
      </c>
    </row>
    <row r="559" spans="1:6" ht="16.5">
      <c r="A559" t="str">
        <f>"TC208122939"</f>
        <v>TC208122939</v>
      </c>
      <c r="B559" t="str">
        <f>"A1x2 江美瑤住宅新建工程"</f>
        <v>A1x2 江美瑤住宅新建工程</v>
      </c>
      <c r="C559" t="s">
        <v>41</v>
      </c>
      <c r="D559" t="str">
        <f>"108/10/01"</f>
        <v>108/10/01</v>
      </c>
      <c r="E559" t="str">
        <f>"2019/10/1 上午 12:00:00"</f>
        <v>2019/10/1 上午 12:00:00</v>
      </c>
      <c r="F559" t="str">
        <f>"A1"</f>
        <v>A1</v>
      </c>
    </row>
    <row r="560" spans="1:6" ht="16.5">
      <c r="A560" t="str">
        <f>"TN108123116"</f>
        <v>TN108123116</v>
      </c>
      <c r="B560" t="str">
        <f>"周敬堯住宅新建工程"</f>
        <v>周敬堯住宅新建工程</v>
      </c>
      <c r="C560" t="str">
        <f>"(106)南工造字第00667號"</f>
        <v>(106)南工造字第00667號</v>
      </c>
      <c r="D560" t="str">
        <f>"108/10/05"</f>
        <v>108/10/05</v>
      </c>
      <c r="E560" t="str">
        <f>"2019/10/1 上午 12:00:00"</f>
        <v>2019/10/1 上午 12:00:00</v>
      </c>
      <c r="F560" t="str">
        <f>"A1"</f>
        <v>A1</v>
      </c>
    </row>
    <row r="561" spans="1:6" ht="16.5">
      <c r="A561" t="str">
        <f>"TP208123206"</f>
        <v>TP208123206</v>
      </c>
      <c r="B561" t="str">
        <f>"黃秋欽宜蘭縣羅東鎮東安段住宅新建工程"</f>
        <v>黃秋欽宜蘭縣羅東鎮東安段住宅新建工程</v>
      </c>
      <c r="C561" t="str">
        <f>"(106)(7)(14)建管建字第00390號"</f>
        <v>(106)(7)(14)建管建字第00390號</v>
      </c>
      <c r="D561" t="str">
        <f>"108/10/08"</f>
        <v>108/10/08</v>
      </c>
      <c r="E561" t="str">
        <f>"2019/10/4 上午 12:00:00"</f>
        <v>2019/10/4 上午 12:00:00</v>
      </c>
      <c r="F561" t="str">
        <f>"A1"</f>
        <v>A1</v>
      </c>
    </row>
    <row r="562" spans="1:6" ht="16.5">
      <c r="A562" t="str">
        <f>"TY108123245"</f>
        <v>TY108123245</v>
      </c>
      <c r="B562" t="str">
        <f>"簡照東 新北市鶯歌區橋子頭三段廠房新建工程"</f>
        <v>簡照東 新北市鶯歌區橋子頭三段廠房新建工程</v>
      </c>
      <c r="C562" t="str">
        <f>"(106)鶯建字第00123號"</f>
        <v>(106)鶯建字第00123號</v>
      </c>
      <c r="D562" t="str">
        <f>"108/10/14"</f>
        <v>108/10/14</v>
      </c>
      <c r="E562" t="str">
        <f>"2019/10/1 上午 12:00:00"</f>
        <v>2019/10/1 上午 12:00:00</v>
      </c>
      <c r="F562" t="str">
        <f>"C1"</f>
        <v>C1</v>
      </c>
    </row>
    <row r="563" spans="1:6" ht="16.5">
      <c r="A563" t="str">
        <f>"HC108123706"</f>
        <v>HC108123706</v>
      </c>
      <c r="B563" t="str">
        <f>"楊健星店鋪，辦公室，住宅新建工程"</f>
        <v>楊健星店鋪，辦公室，住宅新建工程</v>
      </c>
      <c r="C563" t="str">
        <f>"(107)府建字 第00141號"</f>
        <v>(107)府建字 第00141號</v>
      </c>
      <c r="D563" t="str">
        <f>"108/10/07"</f>
        <v>108/10/07</v>
      </c>
      <c r="E563" t="str">
        <f aca="true" t="shared" si="7" ref="E563:E569">"2019/10/2 上午 12:00:00"</f>
        <v>2019/10/2 上午 12:00:00</v>
      </c>
      <c r="F563" t="s">
        <v>38</v>
      </c>
    </row>
    <row r="564" spans="1:6" ht="16.5">
      <c r="A564" t="str">
        <f>"HC108123715"</f>
        <v>HC108123715</v>
      </c>
      <c r="B564" t="str">
        <f>"林振平店鋪住宅新建工程"</f>
        <v>林振平店鋪住宅新建工程</v>
      </c>
      <c r="C564" t="str">
        <f>"(107)府建字 第00080號"</f>
        <v>(107)府建字 第00080號</v>
      </c>
      <c r="D564" t="str">
        <f>"108/10/05"</f>
        <v>108/10/05</v>
      </c>
      <c r="E564" t="str">
        <f t="shared" si="7"/>
        <v>2019/10/2 上午 12:00:00</v>
      </c>
      <c r="F564" t="s">
        <v>38</v>
      </c>
    </row>
    <row r="565" spans="1:6" ht="16.5">
      <c r="A565" t="str">
        <f>"HC108123744"</f>
        <v>HC108123744</v>
      </c>
      <c r="B565" t="str">
        <f>"泰曄建設股份有限公司住宅新建工程"</f>
        <v>泰曄建設股份有限公司住宅新建工程</v>
      </c>
      <c r="C565" t="str">
        <f>"(106)府工建字 第00185號"</f>
        <v>(106)府工建字 第00185號</v>
      </c>
      <c r="D565" t="str">
        <f>"108/10/07"</f>
        <v>108/10/07</v>
      </c>
      <c r="E565" t="str">
        <f t="shared" si="7"/>
        <v>2019/10/2 上午 12:00:00</v>
      </c>
      <c r="F565" t="s">
        <v>7</v>
      </c>
    </row>
    <row r="566" spans="1:6" ht="16.5">
      <c r="A566" t="str">
        <f>"HC108123767"</f>
        <v>HC108123767</v>
      </c>
      <c r="B566" t="str">
        <f>"蘇怡靜住宅新建工程"</f>
        <v>蘇怡靜住宅新建工程</v>
      </c>
      <c r="C566" t="str">
        <f>"(107)府工建字 第00108號"</f>
        <v>(107)府工建字 第00108號</v>
      </c>
      <c r="D566" t="str">
        <f>"108/10/07"</f>
        <v>108/10/07</v>
      </c>
      <c r="E566" t="str">
        <f t="shared" si="7"/>
        <v>2019/10/2 上午 12:00:00</v>
      </c>
      <c r="F566" t="s">
        <v>7</v>
      </c>
    </row>
    <row r="567" spans="1:6" ht="16.5">
      <c r="A567" t="str">
        <f>"HC108123777"</f>
        <v>HC108123777</v>
      </c>
      <c r="B567" t="str">
        <f>"吳宗豐農舍新建工程"</f>
        <v>吳宗豐農舍新建工程</v>
      </c>
      <c r="C567" t="str">
        <f>"(103)府工建字 第00091號"</f>
        <v>(103)府工建字 第00091號</v>
      </c>
      <c r="D567" t="str">
        <f>"108/10/07"</f>
        <v>108/10/07</v>
      </c>
      <c r="E567" t="str">
        <f t="shared" si="7"/>
        <v>2019/10/2 上午 12:00:00</v>
      </c>
      <c r="F567" t="s">
        <v>7</v>
      </c>
    </row>
    <row r="568" spans="1:6" ht="16.5">
      <c r="A568" t="str">
        <f>"HC108123788"</f>
        <v>HC108123788</v>
      </c>
      <c r="B568" t="str">
        <f>"湯繼正住宅新建工程"</f>
        <v>湯繼正住宅新建工程</v>
      </c>
      <c r="C568" t="str">
        <f>"(106)府建字 第00034號01"</f>
        <v>(106)府建字 第00034號01</v>
      </c>
      <c r="D568" t="str">
        <f>"108/10/07"</f>
        <v>108/10/07</v>
      </c>
      <c r="E568" t="str">
        <f t="shared" si="7"/>
        <v>2019/10/2 上午 12:00:00</v>
      </c>
      <c r="F568" t="str">
        <f>"A1"</f>
        <v>A1</v>
      </c>
    </row>
    <row r="569" spans="1:6" ht="16.5">
      <c r="A569" t="str">
        <f>"HC108123805"</f>
        <v>HC108123805</v>
      </c>
      <c r="B569" t="str">
        <f>"黃守仁農糧產品加工室新建工程"</f>
        <v>黃守仁農糧產品加工室新建工程</v>
      </c>
      <c r="C569" t="str">
        <f>"(107)府建字 第00326號"</f>
        <v>(107)府建字 第00326號</v>
      </c>
      <c r="D569" t="str">
        <f>"108/10/04"</f>
        <v>108/10/04</v>
      </c>
      <c r="E569" t="str">
        <f t="shared" si="7"/>
        <v>2019/10/2 上午 12:00:00</v>
      </c>
      <c r="F569" t="s">
        <v>9</v>
      </c>
    </row>
    <row r="570" spans="1:6" ht="16.5">
      <c r="A570" t="str">
        <f>"ML108123867"</f>
        <v>ML108123867</v>
      </c>
      <c r="B570" t="str">
        <f>"協勝建設公司新竹市港北段34.45地號集合住宅新建工程(二期)"</f>
        <v>協勝建設公司新竹市港北段34.45地號集合住宅新建工程(二期)</v>
      </c>
      <c r="C570" t="str">
        <f>"(105)府工建字第00100號"</f>
        <v>(105)府工建字第00100號</v>
      </c>
      <c r="D570" t="str">
        <f>"108/10/07"</f>
        <v>108/10/07</v>
      </c>
      <c r="E570" t="str">
        <f>"2019/10/7 上午 12:00:00"</f>
        <v>2019/10/7 上午 12:00:00</v>
      </c>
      <c r="F570" t="str">
        <f>"D1"</f>
        <v>D1</v>
      </c>
    </row>
    <row r="571" spans="1:6" ht="16.5">
      <c r="A571" t="str">
        <f>"PT308123939"</f>
        <v>PT308123939</v>
      </c>
      <c r="B571" t="str">
        <f>"秀芳國際投資有限公司   集合住宅"</f>
        <v>秀芳國際投資有限公司   集合住宅</v>
      </c>
      <c r="C571" t="str">
        <f>"(105)高市工建築字第001290號"</f>
        <v>(105)高市工建築字第001290號</v>
      </c>
      <c r="D571" t="str">
        <f>"108/10/09"</f>
        <v>108/10/09</v>
      </c>
      <c r="E571" t="str">
        <f>"2019/10/6 上午 12:00:00"</f>
        <v>2019/10/6 上午 12:00:00</v>
      </c>
      <c r="F571" t="s">
        <v>13</v>
      </c>
    </row>
    <row r="572" spans="1:6" ht="16.5">
      <c r="A572" t="str">
        <f>"TP508124155"</f>
        <v>TP508124155</v>
      </c>
      <c r="B572" t="str">
        <f>"鼎美建設大安區金華段集合住宅新建工程"</f>
        <v>鼎美建設大安區金華段集合住宅新建工程</v>
      </c>
      <c r="C572" t="str">
        <f>"105建字第0092號"</f>
        <v>105建字第0092號</v>
      </c>
      <c r="D572" t="str">
        <f>"108/10/21"</f>
        <v>108/10/21</v>
      </c>
      <c r="E572" t="str">
        <f>"2019/10/3 上午 12:00:00"</f>
        <v>2019/10/3 上午 12:00:00</v>
      </c>
      <c r="F572" t="str">
        <f>"C1"</f>
        <v>C1</v>
      </c>
    </row>
    <row r="573" spans="1:6" ht="16.5">
      <c r="A573" t="str">
        <f>"ML108124166"</f>
        <v>ML108124166</v>
      </c>
      <c r="B573" t="str">
        <f>"臺北市立大學圖書館改建工程"</f>
        <v>臺北市立大學圖書館改建工程</v>
      </c>
      <c r="C573" t="str">
        <f>"105建字第0153號"</f>
        <v>105建字第0153號</v>
      </c>
      <c r="D573" t="str">
        <f>"108/10/07"</f>
        <v>108/10/07</v>
      </c>
      <c r="E573" t="str">
        <f>"2019/10/7 上午 12:00:00"</f>
        <v>2019/10/7 上午 12:00:00</v>
      </c>
      <c r="F573" t="str">
        <f>"D1"</f>
        <v>D1</v>
      </c>
    </row>
    <row r="574" spans="1:6" ht="16.5">
      <c r="A574" t="str">
        <f>"TP308124221"</f>
        <v>TP308124221</v>
      </c>
      <c r="B574" t="str">
        <f>"邱顯揚等人 八德區興仁段住宅新建工程"</f>
        <v>邱顯揚等人 八德區興仁段住宅新建工程</v>
      </c>
      <c r="C574" t="str">
        <f>"106桃市都建執照字第會德00402號"</f>
        <v>106桃市都建執照字第會德00402號</v>
      </c>
      <c r="D574" t="str">
        <f>"108/10/15"</f>
        <v>108/10/15</v>
      </c>
      <c r="E574" t="str">
        <f>"2019/10/3 上午 12:00:00"</f>
        <v>2019/10/3 上午 12:00:00</v>
      </c>
      <c r="F574" t="s">
        <v>38</v>
      </c>
    </row>
    <row r="575" spans="1:6" ht="16.5">
      <c r="A575" t="str">
        <f>"AA008124311"</f>
        <v>AA008124311</v>
      </c>
      <c r="B575" t="str">
        <f>"張淑萍住宅新建工程"</f>
        <v>張淑萍住宅新建工程</v>
      </c>
      <c r="C575" t="str">
        <f>"(106)府建字第 00196號"</f>
        <v>(106)府建字第 00196號</v>
      </c>
      <c r="D575" t="str">
        <f>"108/10/26"</f>
        <v>108/10/26</v>
      </c>
      <c r="E575" t="str">
        <f>"2019/10/18 上午 12:00:00"</f>
        <v>2019/10/18 上午 12:00:00</v>
      </c>
      <c r="F575" t="s">
        <v>7</v>
      </c>
    </row>
    <row r="576" spans="1:6" ht="16.5">
      <c r="A576" t="str">
        <f>"AA008124338"</f>
        <v>AA008124338</v>
      </c>
      <c r="B576" t="str">
        <f>"洪玉燕住宅新建工程"</f>
        <v>洪玉燕住宅新建工程</v>
      </c>
      <c r="C576" t="str">
        <f>"(106)府建字第 00197號"</f>
        <v>(106)府建字第 00197號</v>
      </c>
      <c r="D576" t="str">
        <f>"108/10/26"</f>
        <v>108/10/26</v>
      </c>
      <c r="E576" t="str">
        <f>"2019/10/18 上午 12:00:00"</f>
        <v>2019/10/18 上午 12:00:00</v>
      </c>
      <c r="F576" t="s">
        <v>7</v>
      </c>
    </row>
    <row r="577" spans="1:6" ht="16.5">
      <c r="A577" t="str">
        <f>"TC108124346"</f>
        <v>TC108124346</v>
      </c>
      <c r="B577" t="str">
        <f>"C1惠盈建設(股)公司店鋪.住宅新建工程"</f>
        <v>C1惠盈建設(股)公司店鋪.住宅新建工程</v>
      </c>
      <c r="C577" t="str">
        <f>"106中都建字第822號"</f>
        <v>106中都建字第822號</v>
      </c>
      <c r="D577" t="str">
        <f>"108/10/05"</f>
        <v>108/10/05</v>
      </c>
      <c r="E577" t="str">
        <f>"2019/10/5 上午 12:00:00"</f>
        <v>2019/10/5 上午 12:00:00</v>
      </c>
      <c r="F577" t="s">
        <v>13</v>
      </c>
    </row>
    <row r="578" spans="1:6" ht="16.5">
      <c r="A578" t="str">
        <f>"TY108124418"</f>
        <v>TY108124418</v>
      </c>
      <c r="B578" t="str">
        <f>"吳美雲四層住宅新建工程"</f>
        <v>吳美雲四層住宅新建工程</v>
      </c>
      <c r="C578" t="str">
        <f>"(106)桃市都建執照字第會德00737號"</f>
        <v>(106)桃市都建執照字第會德00737號</v>
      </c>
      <c r="D578" t="str">
        <f>"108/10/05"</f>
        <v>108/10/05</v>
      </c>
      <c r="E578" t="str">
        <f>"2019/10/3 上午 12:00:00"</f>
        <v>2019/10/3 上午 12:00:00</v>
      </c>
      <c r="F578" t="str">
        <f>"A1"</f>
        <v>A1</v>
      </c>
    </row>
    <row r="579" spans="1:6" ht="16.5">
      <c r="A579" t="str">
        <f>"KH408124957"</f>
        <v>KH408124957</v>
      </c>
      <c r="B579" t="str">
        <f>"陳盟仁一戶五層住宅新建工程"</f>
        <v>陳盟仁一戶五層住宅新建工程</v>
      </c>
      <c r="C579" t="str">
        <f>"(102)高市工建築字第02600號"</f>
        <v>(102)高市工建築字第02600號</v>
      </c>
      <c r="D579" t="str">
        <f>"108/10/05"</f>
        <v>108/10/05</v>
      </c>
      <c r="E579" t="str">
        <f>"2019/10/4 上午 12:00:00"</f>
        <v>2019/10/4 上午 12:00:00</v>
      </c>
      <c r="F579" t="str">
        <f>"B1"</f>
        <v>B1</v>
      </c>
    </row>
    <row r="580" spans="1:6" ht="16.5">
      <c r="A580" t="str">
        <f>"YL108125008"</f>
        <v>YL108125008</v>
      </c>
      <c r="B580" t="str">
        <f>"A1-南亞塑膠二課廢棄物貯存場新建工程(無電信設備)"</f>
        <v>A1-南亞塑膠二課廢棄物貯存場新建工程(無電信設備)</v>
      </c>
      <c r="C580" t="str">
        <f>"(108)(雲)營建字第865號"</f>
        <v>(108)(雲)營建字第865號</v>
      </c>
      <c r="D580" t="str">
        <f>"108/10/28"</f>
        <v>108/10/28</v>
      </c>
      <c r="E580" t="str">
        <f>"2019/10/28 上午 12:00:00"</f>
        <v>2019/10/28 上午 12:00:00</v>
      </c>
      <c r="F580" t="str">
        <f>"A1"</f>
        <v>A1</v>
      </c>
    </row>
    <row r="581" spans="1:6" ht="16.5">
      <c r="A581" t="str">
        <f>"TY108125104"</f>
        <v>TY108125104</v>
      </c>
      <c r="B581" t="str">
        <f>"大逸建設中埔段集合住宅新建工程"</f>
        <v>大逸建設中埔段集合住宅新建工程</v>
      </c>
      <c r="C581" t="str">
        <f>"（105）桃市都建執照字第會桃01365號"</f>
        <v>（105）桃市都建執照字第會桃01365號</v>
      </c>
      <c r="D581" t="str">
        <f>"108/10/14"</f>
        <v>108/10/14</v>
      </c>
      <c r="E581" t="str">
        <f>"2019/10/4 上午 12:00:00"</f>
        <v>2019/10/4 上午 12:00:00</v>
      </c>
      <c r="F581" t="s">
        <v>13</v>
      </c>
    </row>
    <row r="582" spans="1:6" ht="16.5">
      <c r="A582" t="str">
        <f>"TY108125175"</f>
        <v>TY108125175</v>
      </c>
      <c r="B582" t="str">
        <f>"全球淨水國際有限公司廠房新建工程"</f>
        <v>全球淨水國際有限公司廠房新建工程</v>
      </c>
      <c r="C582" t="str">
        <f>"（105）桃市都建執照字第會桃01196號"</f>
        <v>（105）桃市都建執照字第會桃01196號</v>
      </c>
      <c r="D582" t="str">
        <f>"108/10/14"</f>
        <v>108/10/14</v>
      </c>
      <c r="E582" t="str">
        <f>"2019/10/5 上午 12:00:00"</f>
        <v>2019/10/5 上午 12:00:00</v>
      </c>
      <c r="F582" t="str">
        <f>"C1"</f>
        <v>C1</v>
      </c>
    </row>
    <row r="583" spans="1:6" ht="16.5">
      <c r="A583" t="str">
        <f>"TC208125535"</f>
        <v>TC208125535</v>
      </c>
      <c r="B583" t="str">
        <f>"C1 鈦金工業股份有限公司廠房新建工程"</f>
        <v>C1 鈦金工業股份有限公司廠房新建工程</v>
      </c>
      <c r="C583" t="str">
        <f>"(106)府建管(建)字第0117694號"</f>
        <v>(106)府建管(建)字第0117694號</v>
      </c>
      <c r="D583" t="str">
        <f>"108/10/08"</f>
        <v>108/10/08</v>
      </c>
      <c r="E583" t="str">
        <f>"2019/10/8 上午 12:00:00"</f>
        <v>2019/10/8 上午 12:00:00</v>
      </c>
      <c r="F583" t="str">
        <f>"C1"</f>
        <v>C1</v>
      </c>
    </row>
    <row r="584" spans="1:6" ht="16.5">
      <c r="A584" t="str">
        <f>"TC208125540"</f>
        <v>TC208125540</v>
      </c>
      <c r="B584" t="str">
        <f>"A1x2 林珒顥.林孟郁住宅新建工程"</f>
        <v>A1x2 林珒顥.林孟郁住宅新建工程</v>
      </c>
      <c r="C584" t="s">
        <v>42</v>
      </c>
      <c r="D584" t="str">
        <f>"108/10/08"</f>
        <v>108/10/08</v>
      </c>
      <c r="E584" t="str">
        <f>"2019/10/7 上午 12:00:00"</f>
        <v>2019/10/7 上午 12:00:00</v>
      </c>
      <c r="F584" t="str">
        <f>"A1"</f>
        <v>A1</v>
      </c>
    </row>
    <row r="585" spans="1:6" ht="16.5">
      <c r="A585" t="str">
        <f>"TP408125550"</f>
        <v>TP408125550</v>
      </c>
      <c r="B585" t="str">
        <f>"基隆市信義區中正段一小段地號集合住宅新建工程"</f>
        <v>基隆市信義區中正段一小段地號集合住宅新建工程</v>
      </c>
      <c r="C585" t="str">
        <f>"104基府都建字第00027號"</f>
        <v>104基府都建字第00027號</v>
      </c>
      <c r="D585" t="str">
        <f>"108/10/15"</f>
        <v>108/10/15</v>
      </c>
      <c r="E585" t="str">
        <f>"2019/10/7 上午 12:00:00"</f>
        <v>2019/10/7 上午 12:00:00</v>
      </c>
      <c r="F585" t="str">
        <f>"C1"</f>
        <v>C1</v>
      </c>
    </row>
    <row r="586" spans="1:6" ht="16.5">
      <c r="A586" t="str">
        <f>"TP208125698"</f>
        <v>TP208125698</v>
      </c>
      <c r="B586" t="str">
        <f>"狀圍莊公館住宅新建工程"</f>
        <v>狀圍莊公館住宅新建工程</v>
      </c>
      <c r="C586" t="str">
        <f>"(105)(7)(4)建管建字第00323號"</f>
        <v>(105)(7)(4)建管建字第00323號</v>
      </c>
      <c r="D586" t="str">
        <f>"108/10/28"</f>
        <v>108/10/28</v>
      </c>
      <c r="E586" t="str">
        <f>"2019/10/7 上午 12:00:00"</f>
        <v>2019/10/7 上午 12:00:00</v>
      </c>
      <c r="F586" t="str">
        <f>"A1"</f>
        <v>A1</v>
      </c>
    </row>
    <row r="587" spans="1:6" ht="16.5">
      <c r="A587" t="str">
        <f>"TC208125744"</f>
        <v>TC208125744</v>
      </c>
      <c r="B587" t="str">
        <f>"A1x2 邱育晉.邱文晉住宅新建工程"</f>
        <v>A1x2 邱育晉.邱文晉住宅新建工程</v>
      </c>
      <c r="C587" t="s">
        <v>43</v>
      </c>
      <c r="D587" t="str">
        <f>"108/10/07"</f>
        <v>108/10/07</v>
      </c>
      <c r="E587" t="str">
        <f>"2019/10/7 上午 12:00:00"</f>
        <v>2019/10/7 上午 12:00:00</v>
      </c>
      <c r="F587" t="str">
        <f>"A1"</f>
        <v>A1</v>
      </c>
    </row>
    <row r="588" spans="1:6" ht="16.5">
      <c r="A588" t="str">
        <f>"HC108125878"</f>
        <v>HC108125878</v>
      </c>
      <c r="B588" t="str">
        <f>"陳俊宏農舍新建工程"</f>
        <v>陳俊宏農舍新建工程</v>
      </c>
      <c r="C588" t="str">
        <f>"(104)府建字 第00923號"</f>
        <v>(104)府建字 第00923號</v>
      </c>
      <c r="D588" t="str">
        <f>"108/10/08"</f>
        <v>108/10/08</v>
      </c>
      <c r="E588" t="str">
        <f>"2019/10/8 上午 12:00:00"</f>
        <v>2019/10/8 上午 12:00:00</v>
      </c>
      <c r="F588" t="str">
        <f>"A1"</f>
        <v>A1</v>
      </c>
    </row>
    <row r="589" spans="1:6" ht="16.5">
      <c r="A589" t="str">
        <f>"HC108125889"</f>
        <v>HC108125889</v>
      </c>
      <c r="B589" t="str">
        <f>"蔡錦河汽車修理廠新建工程"</f>
        <v>蔡錦河汽車修理廠新建工程</v>
      </c>
      <c r="C589" t="str">
        <f>"(108)府建字 第00131號"</f>
        <v>(108)府建字 第00131號</v>
      </c>
      <c r="D589" t="str">
        <f>"108/10/08"</f>
        <v>108/10/08</v>
      </c>
      <c r="E589" t="str">
        <f>"2019/10/8 上午 12:00:00"</f>
        <v>2019/10/8 上午 12:00:00</v>
      </c>
      <c r="F589" t="s">
        <v>38</v>
      </c>
    </row>
    <row r="590" spans="1:6" ht="16.5">
      <c r="A590" t="str">
        <f>"TP308125892"</f>
        <v>TP308125892</v>
      </c>
      <c r="B590" t="str">
        <f>"新莊區龍鳳段店鋪集合住宅新建工程"</f>
        <v>新莊區龍鳳段店鋪集合住宅新建工程</v>
      </c>
      <c r="C590" t="str">
        <f>"103莊建字第00251號"</f>
        <v>103莊建字第00251號</v>
      </c>
      <c r="D590" t="str">
        <f>"108/10/15"</f>
        <v>108/10/15</v>
      </c>
      <c r="E590" t="str">
        <f>"2019/10/7 上午 12:00:00"</f>
        <v>2019/10/7 上午 12:00:00</v>
      </c>
      <c r="F590" t="str">
        <f>"C1"</f>
        <v>C1</v>
      </c>
    </row>
    <row r="591" spans="1:6" ht="16.5">
      <c r="A591" t="str">
        <f>"TY108126245"</f>
        <v>TY108126245</v>
      </c>
      <c r="B591" t="str">
        <f>"柯傳威新建工程"</f>
        <v>柯傳威新建工程</v>
      </c>
      <c r="C591" t="str">
        <f>"(106)桃市都建執照字第會壢00565號"</f>
        <v>(106)桃市都建執照字第會壢00565號</v>
      </c>
      <c r="D591" t="str">
        <f>"108/10/14"</f>
        <v>108/10/14</v>
      </c>
      <c r="E591" t="str">
        <f>"2019/10/8 上午 12:00:00"</f>
        <v>2019/10/8 上午 12:00:00</v>
      </c>
      <c r="F591" t="str">
        <f>"A1"</f>
        <v>A1</v>
      </c>
    </row>
    <row r="592" spans="1:6" ht="16.5">
      <c r="A592" t="str">
        <f>"TP608126328"</f>
        <v>TP608126328</v>
      </c>
      <c r="B592" t="str">
        <f>"富邦人壽林森南路旅館新建工程"</f>
        <v>富邦人壽林森南路旅館新建工程</v>
      </c>
      <c r="C592" t="str">
        <f>"106建字第0110號"</f>
        <v>106建字第0110號</v>
      </c>
      <c r="D592" t="str">
        <f>"108/10/16"</f>
        <v>108/10/16</v>
      </c>
      <c r="E592" t="str">
        <f>"2019/10/14 上午 12:00:00"</f>
        <v>2019/10/14 上午 12:00:00</v>
      </c>
      <c r="F592" t="s">
        <v>27</v>
      </c>
    </row>
    <row r="593" spans="1:6" ht="16.5">
      <c r="A593" t="str">
        <f>"TY108126579"</f>
        <v>TY108126579</v>
      </c>
      <c r="B593" t="str">
        <f>"卓德安 等人 桃園區同安段住宅新建工程"</f>
        <v>卓德安 等人 桃園區同安段住宅新建工程</v>
      </c>
      <c r="C593" t="str">
        <f>"(105)桃市都建執照字第會桃00892號"</f>
        <v>(105)桃市都建執照字第會桃00892號</v>
      </c>
      <c r="D593" t="str">
        <f>"108/10/14"</f>
        <v>108/10/14</v>
      </c>
      <c r="E593" t="str">
        <f>"2019/10/8 上午 12:00:00"</f>
        <v>2019/10/8 上午 12:00:00</v>
      </c>
      <c r="F593" t="str">
        <f>"A1"</f>
        <v>A1</v>
      </c>
    </row>
    <row r="594" spans="1:6" ht="16.5">
      <c r="A594" t="str">
        <f>"TY108126587"</f>
        <v>TY108126587</v>
      </c>
      <c r="B594" t="str">
        <f>"平鎮區新勢段住宅新建工程"</f>
        <v>平鎮區新勢段住宅新建工程</v>
      </c>
      <c r="C594" t="str">
        <f>"(105)桃市都建執照字第會平01294號"</f>
        <v>(105)桃市都建執照字第會平01294號</v>
      </c>
      <c r="D594" t="str">
        <f>"108/10/14"</f>
        <v>108/10/14</v>
      </c>
      <c r="E594" t="str">
        <f>"2019/10/8 上午 12:00:00"</f>
        <v>2019/10/8 上午 12:00:00</v>
      </c>
      <c r="F594" t="str">
        <f>"A1"</f>
        <v>A1</v>
      </c>
    </row>
    <row r="595" spans="1:6" ht="16.5">
      <c r="A595" t="str">
        <f>"KH108126654"</f>
        <v>KH108126654</v>
      </c>
      <c r="B595" t="str">
        <f>"汶沙段51-1、52地號住宅新建工程"</f>
        <v>汶沙段51-1、52地號住宅新建工程</v>
      </c>
      <c r="C595" t="str">
        <f>"(105)府建造字第06056號"</f>
        <v>(105)府建造字第06056號</v>
      </c>
      <c r="D595" t="str">
        <f>"108/10/23"</f>
        <v>108/10/23</v>
      </c>
      <c r="E595" t="str">
        <f>"2019/10/9 上午 12:00:00"</f>
        <v>2019/10/9 上午 12:00:00</v>
      </c>
      <c r="F595" t="str">
        <f>"A1"</f>
        <v>A1</v>
      </c>
    </row>
    <row r="596" spans="1:6" ht="16.5">
      <c r="A596" t="str">
        <f>"PT308126720"</f>
        <v>PT308126720</v>
      </c>
      <c r="B596" t="str">
        <f>"高雄市鳳山區牛潮埔段廠房新建工程"</f>
        <v>高雄市鳳山區牛潮埔段廠房新建工程</v>
      </c>
      <c r="C596" t="str">
        <f>"(106)高市工建築字第01584號"</f>
        <v>(106)高市工建築字第01584號</v>
      </c>
      <c r="D596" t="str">
        <f>"108/10/17"</f>
        <v>108/10/17</v>
      </c>
      <c r="E596" t="str">
        <f>"2019/10/13 上午 12:00:00"</f>
        <v>2019/10/13 上午 12:00:00</v>
      </c>
      <c r="F596" t="str">
        <f>"C1"</f>
        <v>C1</v>
      </c>
    </row>
    <row r="597" spans="1:6" ht="16.5">
      <c r="A597" t="str">
        <f>"TC308126767"</f>
        <v>TC308126767</v>
      </c>
      <c r="B597" t="str">
        <f>"E1(C3)康淳科技等5家-南屯區寶文段辦公室集合住宅"</f>
        <v>E1(C3)康淳科技等5家-南屯區寶文段辦公室集合住宅</v>
      </c>
      <c r="C597" t="str">
        <f>"104中都建字第02899號"</f>
        <v>104中都建字第02899號</v>
      </c>
      <c r="D597" t="str">
        <f>"108/10/28"</f>
        <v>108/10/28</v>
      </c>
      <c r="E597" t="str">
        <f>"2019/10/14 上午 12:00:00"</f>
        <v>2019/10/14 上午 12:00:00</v>
      </c>
      <c r="F597" t="s">
        <v>12</v>
      </c>
    </row>
    <row r="598" spans="1:6" ht="16.5">
      <c r="A598" t="str">
        <f>"TY108126777"</f>
        <v>TY108126777</v>
      </c>
      <c r="B598" t="str">
        <f>"余歛新建工程"</f>
        <v>余歛新建工程</v>
      </c>
      <c r="C598" t="str">
        <f>"(106)桃市都建執照字第會壢00095號"</f>
        <v>(106)桃市都建執照字第會壢00095號</v>
      </c>
      <c r="D598" t="str">
        <f>"108/10/16"</f>
        <v>108/10/16</v>
      </c>
      <c r="E598" t="str">
        <f>"2019/10/8 上午 12:00:00"</f>
        <v>2019/10/8 上午 12:00:00</v>
      </c>
      <c r="F598" t="str">
        <f>"C1"</f>
        <v>C1</v>
      </c>
    </row>
    <row r="599" spans="1:6" ht="16.5">
      <c r="A599" t="str">
        <f>"PT308126805"</f>
        <v>PT308126805</v>
      </c>
      <c r="B599" t="str">
        <f>"旭堡建設有限公司:劉貴旭住宅新建工程"</f>
        <v>旭堡建設有限公司:劉貴旭住宅新建工程</v>
      </c>
      <c r="C599" t="str">
        <f>"(103)高市工建築字第02042號"</f>
        <v>(103)高市工建築字第02042號</v>
      </c>
      <c r="D599" t="str">
        <f>"108/10/09"</f>
        <v>108/10/09</v>
      </c>
      <c r="E599" t="str">
        <f>"2019/10/8 上午 12:00:00"</f>
        <v>2019/10/8 上午 12:00:00</v>
      </c>
      <c r="F599" t="str">
        <f>"A1"</f>
        <v>A1</v>
      </c>
    </row>
    <row r="600" spans="1:6" ht="16.5">
      <c r="A600" t="str">
        <f>"TP308126957"</f>
        <v>TP308126957</v>
      </c>
      <c r="B600" t="str">
        <f>"全陽建設崇仰三小段新建案"</f>
        <v>全陽建設崇仰三小段新建案</v>
      </c>
      <c r="C600" t="str">
        <f>"102建字第0328號"</f>
        <v>102建字第0328號</v>
      </c>
      <c r="D600" t="str">
        <f>"108/10/28"</f>
        <v>108/10/28</v>
      </c>
      <c r="E600" t="str">
        <f>"2019/10/9 上午 12:00:00"</f>
        <v>2019/10/9 上午 12:00:00</v>
      </c>
      <c r="F600" t="str">
        <f>"D1"</f>
        <v>D1</v>
      </c>
    </row>
    <row r="601" spans="1:6" ht="16.5">
      <c r="A601" t="str">
        <f>"TC208127008"</f>
        <v>TC208127008</v>
      </c>
      <c r="B601" t="str">
        <f>"A1 蘇靖雯住宅新建工程"</f>
        <v>A1 蘇靖雯住宅新建工程</v>
      </c>
      <c r="C601" t="str">
        <f>"(106)府建管(建)字第0173279號"</f>
        <v>(106)府建管(建)字第0173279號</v>
      </c>
      <c r="D601" t="str">
        <f>"108/10/09"</f>
        <v>108/10/09</v>
      </c>
      <c r="E601" t="str">
        <f>"2019/10/9 上午 12:00:00"</f>
        <v>2019/10/9 上午 12:00:00</v>
      </c>
      <c r="F601" t="str">
        <f>"A1"</f>
        <v>A1</v>
      </c>
    </row>
    <row r="602" spans="1:6" ht="16.5">
      <c r="A602" t="str">
        <f>"TY108127065"</f>
        <v>TY108127065</v>
      </c>
      <c r="B602" t="str">
        <f>"新北市蘆洲區重陽段95地號集合住宅新建工程"</f>
        <v>新北市蘆洲區重陽段95地號集合住宅新建工程</v>
      </c>
      <c r="C602" t="str">
        <f>"104蘆建字第437號"</f>
        <v>104蘆建字第437號</v>
      </c>
      <c r="D602" t="str">
        <f>"108/10/14"</f>
        <v>108/10/14</v>
      </c>
      <c r="E602" t="str">
        <f>"2019/10/9 上午 12:00:00"</f>
        <v>2019/10/9 上午 12:00:00</v>
      </c>
      <c r="F602" t="str">
        <f>"A1"</f>
        <v>A1</v>
      </c>
    </row>
    <row r="603" spans="1:6" ht="16.5">
      <c r="A603" t="str">
        <f>"ML108127175"</f>
        <v>ML108127175</v>
      </c>
      <c r="B603" t="str">
        <f>"陳晏婷住宅新建工程"</f>
        <v>陳晏婷住宅新建工程</v>
      </c>
      <c r="C603" t="str">
        <f>"(105)府建字第00468號"</f>
        <v>(105)府建字第00468號</v>
      </c>
      <c r="D603" t="str">
        <f>"108/10/21"</f>
        <v>108/10/21</v>
      </c>
      <c r="E603" t="str">
        <f>"2019/10/9 上午 12:00:00"</f>
        <v>2019/10/9 上午 12:00:00</v>
      </c>
      <c r="F603" t="str">
        <f>"A1"</f>
        <v>A1</v>
      </c>
    </row>
    <row r="604" spans="1:6" ht="16.5">
      <c r="A604" t="str">
        <f>"TP308127294"</f>
        <v>TP308127294</v>
      </c>
      <c r="B604" t="str">
        <f>"幸大建設開發(股)公司18層集合住宅新建工程"</f>
        <v>幸大建設開發(股)公司18層集合住宅新建工程</v>
      </c>
      <c r="C604" t="str">
        <f>"103板建第00492號"</f>
        <v>103板建第00492號</v>
      </c>
      <c r="D604" t="str">
        <f>"108/10/28"</f>
        <v>108/10/28</v>
      </c>
      <c r="E604" t="str">
        <f>"2019/10/11 上午 12:00:00"</f>
        <v>2019/10/11 上午 12:00:00</v>
      </c>
      <c r="F604" t="str">
        <f>"D1"</f>
        <v>D1</v>
      </c>
    </row>
    <row r="605" spans="1:6" ht="16.5">
      <c r="A605" t="str">
        <f>"TC108127744"</f>
        <v>TC108127744</v>
      </c>
      <c r="B605" t="str">
        <f>"D1漸湛開發埔里鎮忠實段店鋪.集合住宅新建工程"</f>
        <v>D1漸湛開發埔里鎮忠實段店鋪.集合住宅新建工程</v>
      </c>
      <c r="C605" t="str">
        <f>"(105)投府建管(造)字第00309號"</f>
        <v>(105)投府建管(造)字第00309號</v>
      </c>
      <c r="D605" t="str">
        <f>"108/10/17"</f>
        <v>108/10/17</v>
      </c>
      <c r="E605" t="str">
        <f>"2019/10/15 上午 12:00:00"</f>
        <v>2019/10/15 上午 12:00:00</v>
      </c>
      <c r="F605" t="s">
        <v>27</v>
      </c>
    </row>
    <row r="606" spans="1:6" ht="16.5">
      <c r="A606" t="str">
        <f>"TC108127878"</f>
        <v>TC108127878</v>
      </c>
      <c r="B606" t="str">
        <f>"B1林玲真等四人店鋪.住宅新建工程"</f>
        <v>B1林玲真等四人店鋪.住宅新建工程</v>
      </c>
      <c r="C606" t="str">
        <f>"105中都建字第1646號"</f>
        <v>105中都建字第1646號</v>
      </c>
      <c r="D606" t="str">
        <f>"108/10/15"</f>
        <v>108/10/15</v>
      </c>
      <c r="E606" t="str">
        <f>"2019/10/15 上午 12:00:00"</f>
        <v>2019/10/15 上午 12:00:00</v>
      </c>
      <c r="F606" t="str">
        <f>"B1"</f>
        <v>B1</v>
      </c>
    </row>
    <row r="607" spans="1:6" ht="16.5">
      <c r="A607" t="str">
        <f>"TC208127900"</f>
        <v>TC208127900</v>
      </c>
      <c r="B607" t="str">
        <f>"E1長庚醫療財團法人醫療照護場所(醫院)H-1新建工程"</f>
        <v>E1長庚醫療財團法人醫療照護場所(醫院)H-1新建工程</v>
      </c>
      <c r="C607" t="str">
        <f>"104土建字第00627號 "</f>
        <v>104土建字第00627號 </v>
      </c>
      <c r="D607" t="str">
        <f>"108/10/14"</f>
        <v>108/10/14</v>
      </c>
      <c r="E607" t="str">
        <f>"2019/10/14 上午 12:00:00"</f>
        <v>2019/10/14 上午 12:00:00</v>
      </c>
      <c r="F607" t="str">
        <f>"E1"</f>
        <v>E1</v>
      </c>
    </row>
    <row r="608" spans="1:6" ht="16.5">
      <c r="A608" t="str">
        <f>"TC108127924"</f>
        <v>TC108127924</v>
      </c>
      <c r="B608" t="str">
        <f>"C1祭祀公業法人台中市賴振淵宗祠新建工程"</f>
        <v>C1祭祀公業法人台中市賴振淵宗祠新建工程</v>
      </c>
      <c r="C608" t="str">
        <f>"105中都建字第2047號"</f>
        <v>105中都建字第2047號</v>
      </c>
      <c r="D608" t="str">
        <f>"108/10/16"</f>
        <v>108/10/16</v>
      </c>
      <c r="E608" t="str">
        <f>"2019/10/15 上午 12:00:00"</f>
        <v>2019/10/15 上午 12:00:00</v>
      </c>
      <c r="F608" t="str">
        <f>"C1"</f>
        <v>C1</v>
      </c>
    </row>
    <row r="609" spans="1:6" ht="16.5">
      <c r="A609" t="str">
        <f>"TC208127939"</f>
        <v>TC208127939</v>
      </c>
      <c r="B609" t="str">
        <f>"A1 陳姵錡等住宅新建工程"</f>
        <v>A1 陳姵錡等住宅新建工程</v>
      </c>
      <c r="C609" t="str">
        <f>"106建字第0076號"</f>
        <v>106建字第0076號</v>
      </c>
      <c r="D609" t="str">
        <f>"108/10/14"</f>
        <v>108/10/14</v>
      </c>
      <c r="E609" t="str">
        <f>"2019/10/14 上午 12:00:00"</f>
        <v>2019/10/14 上午 12:00:00</v>
      </c>
      <c r="F609" t="s">
        <v>7</v>
      </c>
    </row>
    <row r="610" spans="1:6" ht="16.5">
      <c r="A610" t="str">
        <f>"AA008128029"</f>
        <v>AA008128029</v>
      </c>
      <c r="B610" t="str">
        <f>"邱惠筑 住宅新建工程"</f>
        <v>邱惠筑 住宅新建工程</v>
      </c>
      <c r="C610" t="str">
        <f>"(105)栗商建頭建字第00034號"</f>
        <v>(105)栗商建頭建字第00034號</v>
      </c>
      <c r="D610" t="str">
        <f>"108/10/30"</f>
        <v>108/10/30</v>
      </c>
      <c r="E610" t="str">
        <f>"2019/10/29 上午 12:00:00"</f>
        <v>2019/10/29 上午 12:00:00</v>
      </c>
      <c r="F610" t="str">
        <f>"A1"</f>
        <v>A1</v>
      </c>
    </row>
    <row r="611" spans="1:6" ht="16.5">
      <c r="A611" t="str">
        <f>"TC208128294"</f>
        <v>TC208128294</v>
      </c>
      <c r="B611" t="s">
        <v>44</v>
      </c>
      <c r="C611" t="str">
        <f>"105中都建字第01887號"</f>
        <v>105中都建字第01887號</v>
      </c>
      <c r="D611" t="str">
        <f>"108/10/28"</f>
        <v>108/10/28</v>
      </c>
      <c r="E611" t="str">
        <f>"2019/10/16 上午 12:00:00"</f>
        <v>2019/10/16 上午 12:00:00</v>
      </c>
      <c r="F611" t="s">
        <v>13</v>
      </c>
    </row>
    <row r="612" spans="1:6" ht="16.5">
      <c r="A612" t="str">
        <f>"HL108128302"</f>
        <v>HL108128302</v>
      </c>
      <c r="B612" t="str">
        <f>"B1、A2、B3陳錦秋等6人民享段集合住宅新建工程(5戶)"</f>
        <v>B1、A2、B3陳錦秋等6人民享段集合住宅新建工程(5戶)</v>
      </c>
      <c r="C612" t="str">
        <f>"花建執照字第106A0093號"</f>
        <v>花建執照字第106A0093號</v>
      </c>
      <c r="D612" t="str">
        <f>"108/10/30"</f>
        <v>108/10/30</v>
      </c>
      <c r="E612" t="str">
        <f>"2019/10/18 上午 12:00:00"</f>
        <v>2019/10/18 上午 12:00:00</v>
      </c>
      <c r="F612" t="s">
        <v>9</v>
      </c>
    </row>
    <row r="613" spans="1:6" ht="16.5">
      <c r="A613" t="str">
        <f>"YL108128497"</f>
        <v>YL108128497</v>
      </c>
      <c r="B613" t="str">
        <f>"李建德住宅新建工程"</f>
        <v>李建德住宅新建工程</v>
      </c>
      <c r="C613" t="str">
        <f>"(105)(雲)營建字第637號"</f>
        <v>(105)(雲)營建字第637號</v>
      </c>
      <c r="D613" t="str">
        <f>"108/10/17"</f>
        <v>108/10/17</v>
      </c>
      <c r="E613" t="str">
        <f>"2019/10/17 上午 12:00:00"</f>
        <v>2019/10/17 上午 12:00:00</v>
      </c>
      <c r="F613" t="str">
        <f>"A1"</f>
        <v>A1</v>
      </c>
    </row>
    <row r="614" spans="1:6" ht="16.5">
      <c r="A614" t="str">
        <f>"TP508128630"</f>
        <v>TP508128630</v>
      </c>
      <c r="B614" t="str">
        <f>"璞永建設汀洲路新建工程"</f>
        <v>璞永建設汀洲路新建工程</v>
      </c>
      <c r="C614" t="str">
        <f>"105建字第0142號"</f>
        <v>105建字第0142號</v>
      </c>
      <c r="D614" t="str">
        <f>"108/10/21"</f>
        <v>108/10/21</v>
      </c>
      <c r="E614" t="str">
        <f>"2019/10/15 上午 12:00:00"</f>
        <v>2019/10/15 上午 12:00:00</v>
      </c>
      <c r="F614" t="s">
        <v>13</v>
      </c>
    </row>
    <row r="615" spans="1:6" ht="16.5">
      <c r="A615" t="str">
        <f>"TC208128677"</f>
        <v>TC208128677</v>
      </c>
      <c r="B615" t="str">
        <f>"A1 黃振晃等二戶住宅新建工程"</f>
        <v>A1 黃振晃等二戶住宅新建工程</v>
      </c>
      <c r="C615" t="str">
        <f>"(105)府建管(建)字第0338619號 "</f>
        <v>(105)府建管(建)字第0338619號 </v>
      </c>
      <c r="D615" t="str">
        <f>"108/10/16"</f>
        <v>108/10/16</v>
      </c>
      <c r="E615" t="str">
        <f aca="true" t="shared" si="8" ref="E615:E621">"2019/10/16 上午 12:00:00"</f>
        <v>2019/10/16 上午 12:00:00</v>
      </c>
      <c r="F615" t="str">
        <f>"A1"</f>
        <v>A1</v>
      </c>
    </row>
    <row r="616" spans="1:6" ht="16.5">
      <c r="A616" t="str">
        <f>"HC108128910"</f>
        <v>HC108128910</v>
      </c>
      <c r="B616" t="str">
        <f>"陳尉文新建住宅工程"</f>
        <v>陳尉文新建住宅工程</v>
      </c>
      <c r="C616" t="str">
        <f>"(103)府工建字 第00285號"</f>
        <v>(103)府工建字 第00285號</v>
      </c>
      <c r="D616" t="str">
        <f>"108/10/18"</f>
        <v>108/10/18</v>
      </c>
      <c r="E616" t="str">
        <f t="shared" si="8"/>
        <v>2019/10/16 上午 12:00:00</v>
      </c>
      <c r="F616" t="str">
        <f>"A1"</f>
        <v>A1</v>
      </c>
    </row>
    <row r="617" spans="1:6" ht="16.5">
      <c r="A617" t="str">
        <f>"TC208128924"</f>
        <v>TC208128924</v>
      </c>
      <c r="B617" t="str">
        <f>"B1 龍築建設有限公司住宅新建工程"</f>
        <v>B1 龍築建設有限公司住宅新建工程</v>
      </c>
      <c r="C617" t="str">
        <f>"106中都建字第01596號"</f>
        <v>106中都建字第01596號</v>
      </c>
      <c r="D617" t="str">
        <f>"108/10/16"</f>
        <v>108/10/16</v>
      </c>
      <c r="E617" t="str">
        <f t="shared" si="8"/>
        <v>2019/10/16 上午 12:00:00</v>
      </c>
      <c r="F617" t="str">
        <f>"B1"</f>
        <v>B1</v>
      </c>
    </row>
    <row r="618" spans="1:6" ht="16.5">
      <c r="A618" t="str">
        <f>"HC108128939"</f>
        <v>HC108128939</v>
      </c>
      <c r="B618" t="str">
        <f>"鄭國隆農舍新建工程"</f>
        <v>鄭國隆農舍新建工程</v>
      </c>
      <c r="C618" t="str">
        <f>"(105)府建字 第00262號"</f>
        <v>(105)府建字 第00262號</v>
      </c>
      <c r="D618" t="str">
        <f>"108/10/18"</f>
        <v>108/10/18</v>
      </c>
      <c r="E618" t="str">
        <f t="shared" si="8"/>
        <v>2019/10/16 上午 12:00:00</v>
      </c>
      <c r="F618" t="s">
        <v>7</v>
      </c>
    </row>
    <row r="619" spans="1:6" ht="16.5">
      <c r="A619" t="str">
        <f>"HC108128947"</f>
        <v>HC108128947</v>
      </c>
      <c r="B619" t="str">
        <f>"鄭國暉農舍新建工程"</f>
        <v>鄭國暉農舍新建工程</v>
      </c>
      <c r="C619" t="str">
        <f>"(105)府建字 第00261號"</f>
        <v>(105)府建字 第00261號</v>
      </c>
      <c r="D619" t="str">
        <f>"108/10/18"</f>
        <v>108/10/18</v>
      </c>
      <c r="E619" t="str">
        <f t="shared" si="8"/>
        <v>2019/10/16 上午 12:00:00</v>
      </c>
      <c r="F619" t="s">
        <v>7</v>
      </c>
    </row>
    <row r="620" spans="1:6" ht="16.5">
      <c r="A620" t="str">
        <f>"HC108128968"</f>
        <v>HC108128968</v>
      </c>
      <c r="B620" t="str">
        <f>"謝宗憲住宅新建工程"</f>
        <v>謝宗憲住宅新建工程</v>
      </c>
      <c r="C620" t="str">
        <f>"(107)府建字 第00144號"</f>
        <v>(107)府建字 第00144號</v>
      </c>
      <c r="D620" t="str">
        <f>"108/10/18"</f>
        <v>108/10/18</v>
      </c>
      <c r="E620" t="str">
        <f t="shared" si="8"/>
        <v>2019/10/16 上午 12:00:00</v>
      </c>
      <c r="F620" t="s">
        <v>7</v>
      </c>
    </row>
    <row r="621" spans="1:6" ht="16.5">
      <c r="A621" t="str">
        <f>"TC208129180"</f>
        <v>TC208129180</v>
      </c>
      <c r="B621" t="s">
        <v>45</v>
      </c>
      <c r="C621" t="str">
        <f>"(105)桃市都建執照字第會桃00220號"</f>
        <v>(105)桃市都建執照字第會桃00220號</v>
      </c>
      <c r="D621" t="str">
        <f>"108/10/16"</f>
        <v>108/10/16</v>
      </c>
      <c r="E621" t="str">
        <f t="shared" si="8"/>
        <v>2019/10/16 上午 12:00:00</v>
      </c>
      <c r="F621" t="s">
        <v>27</v>
      </c>
    </row>
    <row r="622" spans="1:6" ht="16.5">
      <c r="A622" t="str">
        <f>"TY208129597"</f>
        <v>TY208129597</v>
      </c>
      <c r="B622" t="str">
        <f>"百鋐建設新北市新莊區中原段集合住宅新建工程"</f>
        <v>百鋐建設新北市新莊區中原段集合住宅新建工程</v>
      </c>
      <c r="C622" t="str">
        <f>"102莊建字第470號"</f>
        <v>102莊建字第470號</v>
      </c>
      <c r="D622" t="str">
        <f>"108/10/23"</f>
        <v>108/10/23</v>
      </c>
      <c r="E622" t="str">
        <f>"2019/10/17 上午 12:00:00"</f>
        <v>2019/10/17 上午 12:00:00</v>
      </c>
      <c r="F622" t="str">
        <f>"D1"</f>
        <v>D1</v>
      </c>
    </row>
    <row r="623" spans="1:6" ht="16.5">
      <c r="A623" t="str">
        <f>"KH408129849"</f>
        <v>KH408129849</v>
      </c>
      <c r="B623" t="str">
        <f>"隆大營建鳳山區園尾段30地號等2筆"</f>
        <v>隆大營建鳳山區園尾段30地號等2筆</v>
      </c>
      <c r="C623" t="str">
        <f>"(106)高市工建築字第00589號"</f>
        <v>(106)高市工建築字第00589號</v>
      </c>
      <c r="D623" t="str">
        <f>"108/10/22"</f>
        <v>108/10/22</v>
      </c>
      <c r="E623" t="str">
        <f>"2019/10/18 上午 12:00:00"</f>
        <v>2019/10/18 上午 12:00:00</v>
      </c>
      <c r="F623" t="s">
        <v>27</v>
      </c>
    </row>
    <row r="624" spans="1:6" ht="16.5">
      <c r="A624" t="str">
        <f>"TY108130669"</f>
        <v>TY108130669</v>
      </c>
      <c r="B624" t="str">
        <f>"住宅"</f>
        <v>住宅</v>
      </c>
      <c r="C624" t="str">
        <f>"(105)桃市都建執照字第會平00603號"</f>
        <v>(105)桃市都建執照字第會平00603號</v>
      </c>
      <c r="D624" t="str">
        <f>"108/10/21"</f>
        <v>108/10/21</v>
      </c>
      <c r="E624" t="str">
        <f>"2019/10/21 上午 12:00:00"</f>
        <v>2019/10/21 上午 12:00:00</v>
      </c>
      <c r="F624" t="str">
        <f>"A1"</f>
        <v>A1</v>
      </c>
    </row>
    <row r="625" spans="1:6" ht="16.5">
      <c r="A625" t="str">
        <f>"PT308130715"</f>
        <v>PT308130715</v>
      </c>
      <c r="B625" t="str">
        <f>"仙盈建設有限公司住宅新建工程"</f>
        <v>仙盈建設有限公司住宅新建工程</v>
      </c>
      <c r="C625" t="str">
        <f>"(106)高市工建築字第01439號"</f>
        <v>(106)高市工建築字第01439號</v>
      </c>
      <c r="D625" t="str">
        <f>"108/10/28"</f>
        <v>108/10/28</v>
      </c>
      <c r="E625" t="str">
        <f>"2019/10/23 上午 12:00:00"</f>
        <v>2019/10/23 上午 12:00:00</v>
      </c>
      <c r="F625" t="str">
        <f>"B1"</f>
        <v>B1</v>
      </c>
    </row>
    <row r="626" spans="1:6" ht="16.5">
      <c r="A626" t="str">
        <f>"TP408130744"</f>
        <v>TP408130744</v>
      </c>
      <c r="B626" t="str">
        <f>"基隆市暖暖區八德段470地號新建工程"</f>
        <v>基隆市暖暖區八德段470地號新建工程</v>
      </c>
      <c r="C626" t="str">
        <f>"(105)基府都建字第00013-01號"</f>
        <v>(105)基府都建字第00013-01號</v>
      </c>
      <c r="D626" t="str">
        <f>"108/10/23"</f>
        <v>108/10/23</v>
      </c>
      <c r="E626" t="str">
        <f>"2019/10/22 上午 12:00:00"</f>
        <v>2019/10/22 上午 12:00:00</v>
      </c>
      <c r="F626" t="s">
        <v>7</v>
      </c>
    </row>
    <row r="627" spans="1:6" ht="16.5">
      <c r="A627" t="str">
        <f>"TC208130799"</f>
        <v>TC208130799</v>
      </c>
      <c r="B627" t="str">
        <f>"A1x5 佰謙建設行5戶住宅新建工程"</f>
        <v>A1x5 佰謙建設行5戶住宅新建工程</v>
      </c>
      <c r="C627" t="str">
        <f>"(104)府建管(建)字第0287747~0287751號"</f>
        <v>(104)府建管(建)字第0287747~0287751號</v>
      </c>
      <c r="D627" t="str">
        <f>"108/10/22"</f>
        <v>108/10/22</v>
      </c>
      <c r="E627" t="str">
        <f>"2019/10/22 上午 12:00:00"</f>
        <v>2019/10/22 上午 12:00:00</v>
      </c>
      <c r="F627" t="str">
        <f>"A1"</f>
        <v>A1</v>
      </c>
    </row>
    <row r="628" spans="1:6" ht="16.5">
      <c r="A628" t="str">
        <f>"TC208130810"</f>
        <v>TC208130810</v>
      </c>
      <c r="B628" t="s">
        <v>46</v>
      </c>
      <c r="C628" t="str">
        <f>"(106)府建管(建)字第0139503號變更(106)府建管(建)字第0272182號"</f>
        <v>(106)府建管(建)字第0139503號變更(106)府建管(建)字第0272182號</v>
      </c>
      <c r="D628" t="str">
        <f>"108/10/22"</f>
        <v>108/10/22</v>
      </c>
      <c r="E628" t="str">
        <f>"2019/10/22 上午 12:00:00"</f>
        <v>2019/10/22 上午 12:00:00</v>
      </c>
      <c r="F628" t="s">
        <v>9</v>
      </c>
    </row>
    <row r="629" spans="1:6" ht="16.5">
      <c r="A629" t="str">
        <f>"KH408130820"</f>
        <v>KH408130820</v>
      </c>
      <c r="B629" t="str">
        <f>"豐嶸建設集合住宅新建工程"</f>
        <v>豐嶸建設集合住宅新建工程</v>
      </c>
      <c r="C629" t="str">
        <f>"(103)高市工建築字第01266號"</f>
        <v>(103)高市工建築字第01266號</v>
      </c>
      <c r="D629" t="str">
        <f>"108/10/22"</f>
        <v>108/10/22</v>
      </c>
      <c r="E629" t="str">
        <f>"2019/10/21 上午 12:00:00"</f>
        <v>2019/10/21 上午 12:00:00</v>
      </c>
      <c r="F629" t="str">
        <f>"C1"</f>
        <v>C1</v>
      </c>
    </row>
    <row r="630" spans="1:6" ht="16.5">
      <c r="A630" t="str">
        <f>"TC208130892"</f>
        <v>TC208130892</v>
      </c>
      <c r="B630" t="s">
        <v>47</v>
      </c>
      <c r="C630" t="str">
        <f>"105中都建字第00993號"</f>
        <v>105中都建字第00993號</v>
      </c>
      <c r="D630" t="str">
        <f>"108/10/27"</f>
        <v>108/10/27</v>
      </c>
      <c r="E630" t="str">
        <f>"2019/10/22 上午 12:00:00"</f>
        <v>2019/10/22 上午 12:00:00</v>
      </c>
      <c r="F630" t="s">
        <v>13</v>
      </c>
    </row>
    <row r="631" spans="1:6" ht="16.5">
      <c r="A631" t="str">
        <f>"TC208130910"</f>
        <v>TC208130910</v>
      </c>
      <c r="B631" t="str">
        <f>"A1 王榮建住宅新建工程"</f>
        <v>A1 王榮建住宅新建工程</v>
      </c>
      <c r="C631" t="str">
        <f>"106中都建字第00136號"</f>
        <v>106中都建字第00136號</v>
      </c>
      <c r="D631" t="str">
        <f>"108/10/23"</f>
        <v>108/10/23</v>
      </c>
      <c r="E631" t="str">
        <f>"2019/10/22 上午 12:00:00"</f>
        <v>2019/10/22 上午 12:00:00</v>
      </c>
      <c r="F631" t="str">
        <f>"A1"</f>
        <v>A1</v>
      </c>
    </row>
    <row r="632" spans="1:6" ht="16.5">
      <c r="A632" t="str">
        <f>"TY108131122"</f>
        <v>TY108131122</v>
      </c>
      <c r="B632" t="str">
        <f>"農舍新建(透天3樓)"</f>
        <v>農舍新建(透天3樓)</v>
      </c>
      <c r="C632" t="str">
        <f>"(106)桃市都建執照字第會平235號"</f>
        <v>(106)桃市都建執照字第會平235號</v>
      </c>
      <c r="D632" t="str">
        <f>"108/10/23"</f>
        <v>108/10/23</v>
      </c>
      <c r="E632" t="str">
        <f>"2019/10/22 上午 12:00:00"</f>
        <v>2019/10/22 上午 12:00:00</v>
      </c>
      <c r="F632" t="str">
        <f>"A1"</f>
        <v>A1</v>
      </c>
    </row>
    <row r="633" spans="1:6" ht="16.5">
      <c r="A633" t="str">
        <f>"TC208131180"</f>
        <v>TC208131180</v>
      </c>
      <c r="B633" t="str">
        <f>"A1 張皓翰住宅新建工程"</f>
        <v>A1 張皓翰住宅新建工程</v>
      </c>
      <c r="C633" t="str">
        <f>"(105)府建管(建)字第0412441號"</f>
        <v>(105)府建管(建)字第0412441號</v>
      </c>
      <c r="D633" t="str">
        <f>"108/10/23"</f>
        <v>108/10/23</v>
      </c>
      <c r="E633" t="str">
        <f>"2019/10/23 上午 12:00:00"</f>
        <v>2019/10/23 上午 12:00:00</v>
      </c>
      <c r="F633" t="str">
        <f>"A1"</f>
        <v>A1</v>
      </c>
    </row>
    <row r="634" spans="1:6" ht="16.5">
      <c r="A634" t="str">
        <f>"TC208131221"</f>
        <v>TC208131221</v>
      </c>
      <c r="B634" t="str">
        <f>"A1 簡瑜澤住宅新建工程"</f>
        <v>A1 簡瑜澤住宅新建工程</v>
      </c>
      <c r="C634" t="str">
        <f>"(106)府建管(建)字第0107744號"</f>
        <v>(106)府建管(建)字第0107744號</v>
      </c>
      <c r="D634" t="str">
        <f>"108/10/23"</f>
        <v>108/10/23</v>
      </c>
      <c r="E634" t="str">
        <f>"2019/10/23 上午 12:00:00"</f>
        <v>2019/10/23 上午 12:00:00</v>
      </c>
      <c r="F634" t="str">
        <f>"A1"</f>
        <v>A1</v>
      </c>
    </row>
    <row r="635" spans="1:6" ht="16.5">
      <c r="A635" t="str">
        <f>"TP208131335"</f>
        <v>TP208131335</v>
      </c>
      <c r="B635" t="str">
        <f>"包浩斯建築頭城鎮住宅新建工程(8戶)"</f>
        <v>包浩斯建築頭城鎮住宅新建工程(8戶)</v>
      </c>
      <c r="C635" t="str">
        <f>"(106)(5)(5)建管建字第00165號"</f>
        <v>(106)(5)(5)建管建字第00165號</v>
      </c>
      <c r="D635" t="str">
        <f>"108/10/30"</f>
        <v>108/10/30</v>
      </c>
      <c r="E635" t="str">
        <f>"2019/10/23 上午 12:00:00"</f>
        <v>2019/10/23 上午 12:00:00</v>
      </c>
      <c r="F635" t="s">
        <v>9</v>
      </c>
    </row>
    <row r="636" spans="1:6" ht="16.5">
      <c r="A636" t="str">
        <f>"TP208131346"</f>
        <v>TP208131346</v>
      </c>
      <c r="B636" t="str">
        <f>"包浩斯建築頭城鎮住宅新建工程(1戶)"</f>
        <v>包浩斯建築頭城鎮住宅新建工程(1戶)</v>
      </c>
      <c r="C636" t="str">
        <f>"(106)(5)(5)建管建字第00166號"</f>
        <v>(106)(5)(5)建管建字第00166號</v>
      </c>
      <c r="D636" t="str">
        <f>"108/10/30"</f>
        <v>108/10/30</v>
      </c>
      <c r="E636" t="str">
        <f>"2019/10/23 上午 12:00:00"</f>
        <v>2019/10/23 上午 12:00:00</v>
      </c>
      <c r="F636" t="str">
        <f>"A1"</f>
        <v>A1</v>
      </c>
    </row>
    <row r="637" spans="1:6" ht="16.5">
      <c r="A637" t="str">
        <f>"TC108131425"</f>
        <v>TC108131425</v>
      </c>
      <c r="B637" t="str">
        <f>"C1住寅建設有限公司住宅新建工程"</f>
        <v>C1住寅建設有限公司住宅新建工程</v>
      </c>
      <c r="C637" t="str">
        <f>"105中都建字第1359號"</f>
        <v>105中都建字第1359號</v>
      </c>
      <c r="D637" t="str">
        <f>"108/10/28"</f>
        <v>108/10/28</v>
      </c>
      <c r="E637" t="str">
        <f>"2019/10/22 上午 12:00:00"</f>
        <v>2019/10/22 上午 12:00:00</v>
      </c>
      <c r="F637" t="s">
        <v>13</v>
      </c>
    </row>
    <row r="638" spans="1:6" ht="16.5">
      <c r="A638" t="str">
        <f>"TP208131508"</f>
        <v>TP208131508</v>
      </c>
      <c r="B638" t="str">
        <f>"林寶玉店舖住宅新建工程"</f>
        <v>林寶玉店舖住宅新建工程</v>
      </c>
      <c r="C638" t="str">
        <f>"(106)(4)(24)建管建字第00148號"</f>
        <v>(106)(4)(24)建管建字第00148號</v>
      </c>
      <c r="D638" t="str">
        <f>"108/10/28"</f>
        <v>108/10/28</v>
      </c>
      <c r="E638" t="str">
        <f>"2019/10/23 上午 12:00:00"</f>
        <v>2019/10/23 上午 12:00:00</v>
      </c>
      <c r="F638" t="str">
        <f>"A1"</f>
        <v>A1</v>
      </c>
    </row>
    <row r="639" spans="1:6" ht="16.5">
      <c r="A639" t="str">
        <f>"TN208131630"</f>
        <v>TN208131630</v>
      </c>
      <c r="B639" t="s">
        <v>48</v>
      </c>
      <c r="C639" t="str">
        <f>"(105)南工造字第00048-03號"</f>
        <v>(105)南工造字第00048-03號</v>
      </c>
      <c r="D639" t="str">
        <f>"108/10/28"</f>
        <v>108/10/28</v>
      </c>
      <c r="E639" t="str">
        <f>"2019/10/22 上午 12:00:00"</f>
        <v>2019/10/22 上午 12:00:00</v>
      </c>
      <c r="F639" t="str">
        <f>"D1"</f>
        <v>D1</v>
      </c>
    </row>
    <row r="640" spans="1:6" ht="16.5">
      <c r="A640" t="str">
        <f>"TC208131759"</f>
        <v>TC208131759</v>
      </c>
      <c r="B640" t="str">
        <f>"C1 新田開發有限公司店舖.集合住宅新建工程"</f>
        <v>C1 新田開發有限公司店舖.集合住宅新建工程</v>
      </c>
      <c r="C640" t="str">
        <f>"105中都建字第01951號"</f>
        <v>105中都建字第01951號</v>
      </c>
      <c r="D640" t="str">
        <f>"108/10/29"</f>
        <v>108/10/29</v>
      </c>
      <c r="E640" t="str">
        <f>"2019/10/24 上午 12:00:00"</f>
        <v>2019/10/24 上午 12:00:00</v>
      </c>
      <c r="F640" t="s">
        <v>13</v>
      </c>
    </row>
    <row r="641" spans="1:6" ht="16.5">
      <c r="A641" t="str">
        <f>"TC208131910"</f>
        <v>TC208131910</v>
      </c>
      <c r="B641" t="str">
        <f>"A1 李惠蘭住宅新建工程"</f>
        <v>A1 李惠蘭住宅新建工程</v>
      </c>
      <c r="C641" t="str">
        <f>"105中都建字第02311號"</f>
        <v>105中都建字第02311號</v>
      </c>
      <c r="D641" t="str">
        <f>"108/10/24"</f>
        <v>108/10/24</v>
      </c>
      <c r="E641" t="str">
        <f>"2019/10/24 上午 12:00:00"</f>
        <v>2019/10/24 上午 12:00:00</v>
      </c>
      <c r="F641" t="str">
        <f>"A1"</f>
        <v>A1</v>
      </c>
    </row>
    <row r="642" spans="1:6" ht="16.5">
      <c r="A642" t="str">
        <f>"TY108131982"</f>
        <v>TY108131982</v>
      </c>
      <c r="B642" t="str">
        <f>"宜蘭市進士段232地號1戶住宅新建工程"</f>
        <v>宜蘭市進士段232地號1戶住宅新建工程</v>
      </c>
      <c r="C642" t="str">
        <f>"106.1.20建管建字第00035號"</f>
        <v>106.1.20建管建字第00035號</v>
      </c>
      <c r="D642" t="str">
        <f>"108/10/28"</f>
        <v>108/10/28</v>
      </c>
      <c r="E642" t="str">
        <f>"2019/10/24 上午 12:00:00"</f>
        <v>2019/10/24 上午 12:00:00</v>
      </c>
      <c r="F642" t="str">
        <f>"A1"</f>
        <v>A1</v>
      </c>
    </row>
    <row r="643" spans="1:6" ht="16.5">
      <c r="A643" t="str">
        <f>"TC208132065"</f>
        <v>TC208132065</v>
      </c>
      <c r="B643" t="str">
        <f>"E1台灣電力股份有限公司P/S改建專案計畫工程"</f>
        <v>E1台灣電力股份有限公司P/S改建專案計畫工程</v>
      </c>
      <c r="C643" t="str">
        <f>"106土建字第00028號"</f>
        <v>106土建字第00028號</v>
      </c>
      <c r="D643" t="str">
        <f>"108/10/23"</f>
        <v>108/10/23</v>
      </c>
      <c r="E643" t="str">
        <f>"2019/10/23 上午 12:00:00"</f>
        <v>2019/10/23 上午 12:00:00</v>
      </c>
      <c r="F643" t="str">
        <f>"E1"</f>
        <v>E1</v>
      </c>
    </row>
    <row r="644" spans="1:6" ht="16.5">
      <c r="A644" t="str">
        <f>"TC208132090"</f>
        <v>TC208132090</v>
      </c>
      <c r="B644" t="s">
        <v>49</v>
      </c>
      <c r="C644" t="str">
        <f>"106建字第0097號"</f>
        <v>106建字第0097號</v>
      </c>
      <c r="D644" t="str">
        <f>"108/10/23"</f>
        <v>108/10/23</v>
      </c>
      <c r="E644" t="str">
        <f>"2019/10/23 上午 12:00:00"</f>
        <v>2019/10/23 上午 12:00:00</v>
      </c>
      <c r="F644" t="s">
        <v>13</v>
      </c>
    </row>
    <row r="645" spans="1:6" ht="16.5">
      <c r="A645" t="str">
        <f>"TC208132445"</f>
        <v>TC208132445</v>
      </c>
      <c r="B645" t="s">
        <v>50</v>
      </c>
      <c r="C645" t="str">
        <f>"(105)桃市都建執照字第會桃01385號"</f>
        <v>(105)桃市都建執照字第會桃01385號</v>
      </c>
      <c r="D645" t="str">
        <f>"108/10/27"</f>
        <v>108/10/27</v>
      </c>
      <c r="E645" t="str">
        <f>"2019/10/24 上午 12:00:00"</f>
        <v>2019/10/24 上午 12:00:00</v>
      </c>
      <c r="F645" t="s">
        <v>27</v>
      </c>
    </row>
    <row r="646" spans="1:6" ht="16.5">
      <c r="A646" t="str">
        <f>"TC208132450"</f>
        <v>TC208132450</v>
      </c>
      <c r="B646" t="str">
        <f>"C1 健秀有限公司廠房新建工程"</f>
        <v>C1 健秀有限公司廠房新建工程</v>
      </c>
      <c r="C646" t="str">
        <f>"(104)府建管(建)字第0214528號"</f>
        <v>(104)府建管(建)字第0214528號</v>
      </c>
      <c r="D646" t="str">
        <f>"108/10/29"</f>
        <v>108/10/29</v>
      </c>
      <c r="E646" t="str">
        <f aca="true" t="shared" si="9" ref="E646:E651">"2019/10/25 上午 12:00:00"</f>
        <v>2019/10/25 上午 12:00:00</v>
      </c>
      <c r="F646" t="str">
        <f>"C1"</f>
        <v>C1</v>
      </c>
    </row>
    <row r="647" spans="1:6" ht="16.5">
      <c r="A647" t="str">
        <f>"TC108132698"</f>
        <v>TC108132698</v>
      </c>
      <c r="B647" t="str">
        <f>"A1+C1許玉花補習班.住宅新建工程"</f>
        <v>A1+C1許玉花補習班.住宅新建工程</v>
      </c>
      <c r="C647" t="str">
        <f>"106中都建字第1138.1139號"</f>
        <v>106中都建字第1138.1139號</v>
      </c>
      <c r="D647" t="str">
        <f>"108/10/29"</f>
        <v>108/10/29</v>
      </c>
      <c r="E647" t="str">
        <f t="shared" si="9"/>
        <v>2019/10/25 上午 12:00:00</v>
      </c>
      <c r="F647" t="s">
        <v>22</v>
      </c>
    </row>
    <row r="648" spans="1:6" ht="16.5">
      <c r="A648" t="str">
        <f>"TN208132878"</f>
        <v>TN208132878</v>
      </c>
      <c r="B648" t="str">
        <f>"穩衛廠房新建工程"</f>
        <v>穩衛廠房新建工程</v>
      </c>
      <c r="C648" t="str">
        <f>"(108)南工造字第01050號"</f>
        <v>(108)南工造字第01050號</v>
      </c>
      <c r="D648" t="str">
        <f>"108/10/27"</f>
        <v>108/10/27</v>
      </c>
      <c r="E648" t="str">
        <f t="shared" si="9"/>
        <v>2019/10/25 上午 12:00:00</v>
      </c>
      <c r="F648" t="str">
        <f>"C1"</f>
        <v>C1</v>
      </c>
    </row>
    <row r="649" spans="1:6" ht="16.5">
      <c r="A649" t="str">
        <f>"TN208132889"</f>
        <v>TN208132889</v>
      </c>
      <c r="B649" t="str">
        <f>"三隆齒輪股份有公司 (3Fx3戶)工廠"</f>
        <v>三隆齒輪股份有公司 (3Fx3戶)工廠</v>
      </c>
      <c r="C649" t="str">
        <f>"(105)南工造字第00968號"</f>
        <v>(105)南工造字第00968號</v>
      </c>
      <c r="D649" t="str">
        <f>"108/10/28"</f>
        <v>108/10/28</v>
      </c>
      <c r="E649" t="str">
        <f t="shared" si="9"/>
        <v>2019/10/25 上午 12:00:00</v>
      </c>
      <c r="F649" t="str">
        <f>"D1"</f>
        <v>D1</v>
      </c>
    </row>
    <row r="650" spans="1:6" ht="16.5">
      <c r="A650" t="str">
        <f>"TC208132939"</f>
        <v>TC208132939</v>
      </c>
      <c r="B650" t="str">
        <f>"A1 黃國書住宅新建工程"</f>
        <v>A1 黃國書住宅新建工程</v>
      </c>
      <c r="C650" t="str">
        <f>"(106)福鄉建字第0009248號"</f>
        <v>(106)福鄉建字第0009248號</v>
      </c>
      <c r="D650" t="str">
        <f>"108/10/28"</f>
        <v>108/10/28</v>
      </c>
      <c r="E650" t="str">
        <f t="shared" si="9"/>
        <v>2019/10/25 上午 12:00:00</v>
      </c>
      <c r="F650" t="str">
        <f>"A1"</f>
        <v>A1</v>
      </c>
    </row>
    <row r="651" spans="1:6" ht="16.5">
      <c r="A651" t="str">
        <f>"TC208132968"</f>
        <v>TC208132968</v>
      </c>
      <c r="B651" t="str">
        <f>"A1X4 磐燁建設股份有限公司住宅新建工程"</f>
        <v>A1X4 磐燁建設股份有限公司住宅新建工程</v>
      </c>
      <c r="C651" t="str">
        <f>"(106)府建管(建)字第0063190~0063193號"</f>
        <v>(106)府建管(建)字第0063190~0063193號</v>
      </c>
      <c r="D651" t="str">
        <f>"108/10/28"</f>
        <v>108/10/28</v>
      </c>
      <c r="E651" t="str">
        <f t="shared" si="9"/>
        <v>2019/10/25 上午 12:00:00</v>
      </c>
      <c r="F651" t="str">
        <f>"A1"</f>
        <v>A1</v>
      </c>
    </row>
    <row r="652" spans="1:6" ht="16.5">
      <c r="A652" t="str">
        <f>"ML108132979"</f>
        <v>ML108132979</v>
      </c>
      <c r="B652" t="str">
        <f>"邱俊斌住宅新建工程"</f>
        <v>邱俊斌住宅新建工程</v>
      </c>
      <c r="C652" t="str">
        <f>"(103)栗商建苗建字第00143號"</f>
        <v>(103)栗商建苗建字第00143號</v>
      </c>
      <c r="D652" t="str">
        <f>"108/10/28"</f>
        <v>108/10/28</v>
      </c>
      <c r="E652" t="str">
        <f>"2019/10/28 上午 12:00:00"</f>
        <v>2019/10/28 上午 12:00:00</v>
      </c>
      <c r="F652" t="s">
        <v>7</v>
      </c>
    </row>
    <row r="653" spans="1:6" ht="16.5">
      <c r="A653" t="str">
        <f>"TC208133008"</f>
        <v>TC208133008</v>
      </c>
      <c r="B653" t="s">
        <v>51</v>
      </c>
      <c r="C653" t="str">
        <f>"(105)府建管(建)字第0221507號"</f>
        <v>(105)府建管(建)字第0221507號</v>
      </c>
      <c r="D653" t="str">
        <f>"108/10/29"</f>
        <v>108/10/29</v>
      </c>
      <c r="E653" t="str">
        <f>"2019/10/28 上午 12:00:00"</f>
        <v>2019/10/28 上午 12:00:00</v>
      </c>
      <c r="F653" t="s">
        <v>13</v>
      </c>
    </row>
    <row r="654" spans="1:6" ht="16.5">
      <c r="A654" t="str">
        <f>"TC308133212"</f>
        <v>TC308133212</v>
      </c>
      <c r="B654" t="str">
        <f>"佑松建設北屯區太祥段205地號住宅新建工程"</f>
        <v>佑松建設北屯區太祥段205地號住宅新建工程</v>
      </c>
      <c r="C654" t="str">
        <f>"106中都建字第00117號"</f>
        <v>106中都建字第00117號</v>
      </c>
      <c r="D654" t="str">
        <f>"108/10/29"</f>
        <v>108/10/29</v>
      </c>
      <c r="E654" t="str">
        <f>"2019/10/28 上午 12:00:00"</f>
        <v>2019/10/28 上午 12:00:00</v>
      </c>
      <c r="F654" t="s">
        <v>27</v>
      </c>
    </row>
    <row r="655" spans="1:6" ht="16.5">
      <c r="A655" t="str">
        <f>"HC108133460"</f>
        <v>HC108133460</v>
      </c>
      <c r="B655" t="str">
        <f>"戴雪雲 補習班，住宅新建工程"</f>
        <v>戴雪雲 補習班，住宅新建工程</v>
      </c>
      <c r="C655" t="str">
        <f>"(106)府建字 第00201號"</f>
        <v>(106)府建字 第00201號</v>
      </c>
      <c r="D655" t="str">
        <f>"108/10/30"</f>
        <v>108/10/30</v>
      </c>
      <c r="E655" t="str">
        <f>"2019/10/29 上午 12:00:00"</f>
        <v>2019/10/29 上午 12:00:00</v>
      </c>
      <c r="F655" t="s">
        <v>9</v>
      </c>
    </row>
    <row r="656" spans="1:6" ht="16.5">
      <c r="A656" t="str">
        <f>"TP608133489"</f>
        <v>TP608133489</v>
      </c>
      <c r="B656" t="str">
        <f>"大溪國民小學新建多功能運動中心工程"</f>
        <v>大溪國民小學新建多功能運動中心工程</v>
      </c>
      <c r="C656" t="str">
        <f>"105 桃市都建執照字第會溪01234號"</f>
        <v>105 桃市都建執照字第會溪01234號</v>
      </c>
      <c r="D656" t="str">
        <f>"108/10/28"</f>
        <v>108/10/28</v>
      </c>
      <c r="E656" t="str">
        <f>"2019/10/28 上午 12:00:00"</f>
        <v>2019/10/28 上午 12:00:00</v>
      </c>
      <c r="F656" t="s">
        <v>27</v>
      </c>
    </row>
    <row r="657" spans="1:6" ht="16.5">
      <c r="A657" t="str">
        <f>"TY108133605"</f>
        <v>TY108133605</v>
      </c>
      <c r="B657" t="str">
        <f>"游民德新建工程"</f>
        <v>游民德新建工程</v>
      </c>
      <c r="C657" t="str">
        <f>"(105)桃市都建執照字第會園01375號"</f>
        <v>(105)桃市都建執照字第會園01375號</v>
      </c>
      <c r="D657" t="str">
        <f>"108/10/28"</f>
        <v>108/10/28</v>
      </c>
      <c r="E657" t="str">
        <f>"2019/10/28 上午 12:00:00"</f>
        <v>2019/10/28 上午 12:00:00</v>
      </c>
      <c r="F657" t="str">
        <f>"A1"</f>
        <v>A1</v>
      </c>
    </row>
    <row r="658" spans="1:6" ht="16.5">
      <c r="A658" t="str">
        <f>"TC308133654"</f>
        <v>TC308133654</v>
      </c>
      <c r="B658" t="str">
        <f>"C1C2必優德建設建安段住宅新建工程"</f>
        <v>C1C2必優德建設建安段住宅新建工程</v>
      </c>
      <c r="C658" t="str">
        <f>"104中都建字第2716號"</f>
        <v>104中都建字第2716號</v>
      </c>
      <c r="D658" t="str">
        <f>"108/10/29"</f>
        <v>108/10/29</v>
      </c>
      <c r="E658" t="str">
        <f>"2019/10/28 上午 12:00:00"</f>
        <v>2019/10/28 上午 12:00:00</v>
      </c>
      <c r="F658" t="s">
        <v>52</v>
      </c>
    </row>
    <row r="659" spans="1:6" ht="16.5">
      <c r="A659" t="str">
        <f>"KH408134032"</f>
        <v>KH408134032</v>
      </c>
      <c r="B659" t="str">
        <f>"勤寬建設-集合住宅新建工程"</f>
        <v>勤寬建設-集合住宅新建工程</v>
      </c>
      <c r="C659" t="str">
        <f>"(106)高市工建築字第01498號"</f>
        <v>(106)高市工建築字第01498號</v>
      </c>
      <c r="D659" t="str">
        <f>"108/10/29"</f>
        <v>108/10/29</v>
      </c>
      <c r="E659" t="str">
        <f>"2019/10/29 上午 12:00:00"</f>
        <v>2019/10/29 上午 12:00:00</v>
      </c>
      <c r="F659" t="s">
        <v>12</v>
      </c>
    </row>
    <row r="660" spans="1:6" ht="16.5">
      <c r="A660" t="str">
        <f>"TN208134335"</f>
        <v>TN208134335</v>
      </c>
      <c r="B660" t="str">
        <f>"福耘建設開發有限公司店鋪住宅新建工程"</f>
        <v>福耘建設開發有限公司店鋪住宅新建工程</v>
      </c>
      <c r="C660" t="str">
        <f>"A106嘉市府都建執字第0000196號"</f>
        <v>A106嘉市府都建執字第0000196號</v>
      </c>
      <c r="D660" t="str">
        <f>"108/10/31"</f>
        <v>108/10/31</v>
      </c>
      <c r="E660" t="str">
        <f>"2019/10/31 上午 12:00:00"</f>
        <v>2019/10/31 上午 12:00:00</v>
      </c>
      <c r="F660" t="s">
        <v>13</v>
      </c>
    </row>
    <row r="661" spans="1:6" ht="16.5">
      <c r="A661" t="str">
        <f>"TC208134799"</f>
        <v>TC208134799</v>
      </c>
      <c r="B661" t="str">
        <f>"A1x5 曹博凱等住宅新建工程"</f>
        <v>A1x5 曹博凱等住宅新建工程</v>
      </c>
      <c r="C661" t="s">
        <v>53</v>
      </c>
      <c r="D661" t="str">
        <f>"108/10/30"</f>
        <v>108/10/30</v>
      </c>
      <c r="E661" t="str">
        <f>"2019/10/30 上午 12:00:00"</f>
        <v>2019/10/30 上午 12:00:00</v>
      </c>
      <c r="F661" t="str">
        <f>"A1"</f>
        <v>A1</v>
      </c>
    </row>
    <row r="662" spans="1:6" ht="16.5">
      <c r="A662" t="str">
        <f>"TC208134810"</f>
        <v>TC208134810</v>
      </c>
      <c r="B662" t="str">
        <f>"A1 黃奇聰住宅新建工程"</f>
        <v>A1 黃奇聰住宅新建工程</v>
      </c>
      <c r="C662" t="str">
        <f>"(106)府建管(建)字第0084687號"</f>
        <v>(106)府建管(建)字第0084687號</v>
      </c>
      <c r="D662" t="str">
        <f>"108/10/30"</f>
        <v>108/10/30</v>
      </c>
      <c r="E662" t="str">
        <f>"2019/10/30 上午 12:00:00"</f>
        <v>2019/10/30 上午 12:00:00</v>
      </c>
      <c r="F662" t="str">
        <f>"A1"</f>
        <v>A1</v>
      </c>
    </row>
    <row r="663" spans="1:6" ht="16.5">
      <c r="A663" t="str">
        <f>"TC108134939"</f>
        <v>TC108134939</v>
      </c>
      <c r="B663" t="str">
        <f>"A1傅正秀住宅新建工程"</f>
        <v>A1傅正秀住宅新建工程</v>
      </c>
      <c r="C663" t="str">
        <f>"106中都建字第1312號"</f>
        <v>106中都建字第1312號</v>
      </c>
      <c r="D663" t="str">
        <f>"108/10/30"</f>
        <v>108/10/30</v>
      </c>
      <c r="E663" t="str">
        <f>"2019/10/30 上午 12:00:00"</f>
        <v>2019/10/30 上午 12:00:00</v>
      </c>
      <c r="F663" t="str">
        <f>"A1"</f>
        <v>A1</v>
      </c>
    </row>
    <row r="664" spans="1:6" ht="16.5">
      <c r="A664" t="str">
        <f>"TN208135122"</f>
        <v>TN208135122</v>
      </c>
      <c r="B664" t="s">
        <v>54</v>
      </c>
      <c r="C664" t="str">
        <f>"(105)南工造字第01083~01084號"</f>
        <v>(105)南工造字第01083~01084號</v>
      </c>
      <c r="D664" t="str">
        <f>"108/10/30"</f>
        <v>108/10/30</v>
      </c>
      <c r="E664" t="str">
        <f>"2019/10/30 上午 12:00:00"</f>
        <v>2019/10/30 上午 12:00:00</v>
      </c>
      <c r="F664" t="str">
        <f>"A1"</f>
        <v>A1</v>
      </c>
    </row>
    <row r="665" spans="1:6" ht="16.5">
      <c r="A665" t="str">
        <f>"TY108135669"</f>
        <v>TY108135669</v>
      </c>
      <c r="B665" t="str">
        <f>"余公館中壢區復興段住宅新建工程"</f>
        <v>余公館中壢區復興段住宅新建工程</v>
      </c>
      <c r="C665" t="str">
        <f>"(104)桃市都建執照字第會壢00542號"</f>
        <v>(104)桃市都建執照字第會壢00542號</v>
      </c>
      <c r="D665" t="str">
        <f>"108/10/31"</f>
        <v>108/10/31</v>
      </c>
      <c r="E665" t="str">
        <f>"2019/10/31 上午 12:00:00"</f>
        <v>2019/10/31 上午 12:00:00</v>
      </c>
      <c r="F665" t="str">
        <f>"A1"</f>
        <v>A1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張訓達(基礎)</dc:creator>
  <cp:keywords/>
  <dc:description/>
  <cp:lastModifiedBy>張訓達(基礎)</cp:lastModifiedBy>
  <dcterms:created xsi:type="dcterms:W3CDTF">2019-12-20T07:45:05Z</dcterms:created>
  <dcterms:modified xsi:type="dcterms:W3CDTF">2019-12-20T07:45:05Z</dcterms:modified>
  <cp:category/>
  <cp:version/>
  <cp:contentType/>
  <cp:contentStatus/>
</cp:coreProperties>
</file>