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90" activeTab="0"/>
  </bookViews>
  <sheets>
    <sheet name="案件清單" sheetId="1" r:id="rId1"/>
  </sheets>
  <definedNames/>
  <calcPr fullCalcOnLoad="1"/>
</workbook>
</file>

<file path=xl/sharedStrings.xml><?xml version="1.0" encoding="utf-8"?>
<sst xmlns="http://schemas.openxmlformats.org/spreadsheetml/2006/main" count="267" uniqueCount="79">
  <si>
    <t>案件編號</t>
  </si>
  <si>
    <t>建物名稱</t>
  </si>
  <si>
    <t>建造執照號碼</t>
  </si>
  <si>
    <t>審驗完成日期</t>
  </si>
  <si>
    <t>審驗繳費完成日期</t>
  </si>
  <si>
    <t>審驗費類別</t>
  </si>
  <si>
    <t>C1,C2</t>
  </si>
  <si>
    <t>A1,A2</t>
  </si>
  <si>
    <t>B1,B2洪龍昭 等集合住宅新建工程</t>
  </si>
  <si>
    <t>B1,B2</t>
  </si>
  <si>
    <t>E1,E2</t>
  </si>
  <si>
    <t>A1x3,B1 巨勝建設七戶住宅新建工程</t>
  </si>
  <si>
    <t>A1,B1</t>
  </si>
  <si>
    <t>(106)府建管(建)字第0129806,0129810號</t>
  </si>
  <si>
    <t>106中都建字第01974,01975號</t>
  </si>
  <si>
    <t>106中都建字第02263,.02264,02265號共3張</t>
  </si>
  <si>
    <t>C1(C2,C3)寶國建築經理股份有限公司店鋪.集合住宅新建工程</t>
  </si>
  <si>
    <t>106中都建字第02434,02435號</t>
  </si>
  <si>
    <t>A1x4,B1來詠馥建設有限公司10戶住宅新建工程</t>
  </si>
  <si>
    <t>D1,D2</t>
  </si>
  <si>
    <t>A1x4,B1 昕晟建設有限公司住宅新建工程</t>
  </si>
  <si>
    <t>A1,B1,B2,A2</t>
  </si>
  <si>
    <t>D1(D2,C3)總太地產開發股份有限公司(東方紐約)店鋪.集合住宅新建工程</t>
  </si>
  <si>
    <t>A1,B2</t>
  </si>
  <si>
    <t>E1(E2,D3)鉅慶建設股份有限公司集合住宅新建工程</t>
  </si>
  <si>
    <t>B1(B2,B3) 林晉德集合住宅新建工程</t>
  </si>
  <si>
    <t>統上開發建設 股份有限公司 負責人：李棟樑 零售場所,商務住宅 新建工程 (A照)</t>
  </si>
  <si>
    <t>A1,B1x2 賀雅建設有限公司住宅新建工程</t>
  </si>
  <si>
    <t>B1(B2,B3) 佳格建設有限公司12戶住宅新建工程</t>
  </si>
  <si>
    <t>A1,A2,C1,C2</t>
  </si>
  <si>
    <t>A2,B1</t>
  </si>
  <si>
    <t>A1,A2,B1,B2</t>
  </si>
  <si>
    <t>曾煥賢 小型工業設施,住宅新建工程</t>
  </si>
  <si>
    <t>E1(E2,C3)台灣金聯資產管理股份有限公司廠房大樓 [亞太科技園區A棟] [金聯汐止大樓]</t>
  </si>
  <si>
    <t>E1(E2,C3)皇鼎建設開發股份有限公司層廠房大樓[亞太科技園區B棟] [富鼎科技]</t>
  </si>
  <si>
    <t>C1(C2,C3)御墅家建設有限公司21期CD區住宅新建工程</t>
  </si>
  <si>
    <t>C1(C2,C3)御墅家建設有限公司21期AB區住宅新建工程</t>
  </si>
  <si>
    <t>宜蘭縣五結鄉隆昌段12戶住宅新建工程(A,B棟)</t>
  </si>
  <si>
    <t>(107)桃市都建執照字第會楊00838號,(107)桃市都建執照字第會楊00839號</t>
  </si>
  <si>
    <t>(107)府建管(建)字第0459309~0459310,0459312~0459313, 0459316~0459317號</t>
  </si>
  <si>
    <t>顏正錡麗林728,729地號新建工程</t>
  </si>
  <si>
    <t>C1(C2,B3)精英國際教育管理顧問有限公司幼兒園.補習班新建工程</t>
  </si>
  <si>
    <t>107中都建字第01732,01733號</t>
  </si>
  <si>
    <t>(107)南工造字第04264號,(107)南工造字第04265號</t>
  </si>
  <si>
    <t>107中都建字第02254,02255號</t>
  </si>
  <si>
    <t>A1,B1 林正南.林富郎二戶店鋪.住宅新建工程</t>
  </si>
  <si>
    <t xml:space="preserve">B1達盟開發企業有限公司 廠房,日常用品零售場所新建工程  </t>
  </si>
  <si>
    <t>宜蘭縣五結鄉隆昌段16戶住宅新建工程(C,D,E棟)</t>
  </si>
  <si>
    <t>(107)南工造字第04992,04993,04994號</t>
  </si>
  <si>
    <t>童暐淳,和晟建設有限公司 負責人:童鏡德4F8戶住宅新建工程</t>
  </si>
  <si>
    <t>A1,B1,B2</t>
  </si>
  <si>
    <t>楊皓雲,楊碧霞,梁恆盛店舖新建工程</t>
  </si>
  <si>
    <t>(108)府建管(建)字第0164258,0164259號</t>
  </si>
  <si>
    <t>府都建字第1083020892號,府都建字第1083020890號</t>
  </si>
  <si>
    <t>B1(B2,A3)新北巿政府體育處中角灣衝浪服務中心興建工程</t>
  </si>
  <si>
    <t>（107）南工造字第02319-2、02327-2、02328-2號,（108）南工造字第03113~03119號</t>
  </si>
  <si>
    <t>C3,E1</t>
  </si>
  <si>
    <t>D1,D3</t>
  </si>
  <si>
    <t>C1,C3</t>
  </si>
  <si>
    <t>陳龍珠店舖,住宅修建工程</t>
  </si>
  <si>
    <t>(106)府建管(建)字第0164208,0170216號</t>
  </si>
  <si>
    <t>105中都建字第02281,02282號</t>
  </si>
  <si>
    <t>(105)府建管(建)字第0367223,0367225號</t>
  </si>
  <si>
    <t>C1(C2,C3)禾太建設開發有限公司集合住宅新建工程</t>
  </si>
  <si>
    <t>E1(E2,D3)佳福建設股份有限公司集合住宅新建工程</t>
  </si>
  <si>
    <t>四季地產開發股份有限公司店鋪,集合住宅水電新建工程</t>
  </si>
  <si>
    <t>B1,B2,C1,C2</t>
  </si>
  <si>
    <t>106中都建字第00148,00149號</t>
  </si>
  <si>
    <t>(105)府建管(建)字第03975560,03975561號</t>
  </si>
  <si>
    <t>佶泰建設-南港區經貿段70,70-1地號商辦大樓新建工程</t>
  </si>
  <si>
    <t>C1(C2,C3)岩大建設有限公司集合住宅新建工程</t>
  </si>
  <si>
    <t>C1(C2,C3)虹廷建設股份有限公司集合住宅新建工程</t>
  </si>
  <si>
    <t xml:space="preserve"> (105)府建管(建)字第0338612,0338614號 </t>
  </si>
  <si>
    <t>(104)府建管(建)字第0401365,0401366號</t>
  </si>
  <si>
    <t>103中都建字第03280,03281號</t>
  </si>
  <si>
    <t>(104)府建管(建)字第0371673,0371674號</t>
  </si>
  <si>
    <t>(102)府建管(建)字第0368113,0382007~0382009號</t>
  </si>
  <si>
    <t xml:space="preserve">(105)府建管(建)字第0392299,0392302號  </t>
  </si>
  <si>
    <t>108年11月審驗合格清單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</si>
</sst>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7">
    <font>
      <sz val="12"/>
      <color theme="1"/>
      <name val="Calibri"/>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9"/>
      <name val="新細明體"/>
      <family val="1"/>
    </font>
    <font>
      <b/>
      <sz val="16"/>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0" borderId="0" applyNumberFormat="0" applyBorder="0" applyAlignment="0" applyProtection="0"/>
    <xf numFmtId="0" fontId="22" fillId="0" borderId="1" applyNumberFormat="0" applyFill="0" applyAlignment="0" applyProtection="0"/>
    <xf numFmtId="0" fontId="23" fillId="21" borderId="0" applyNumberFormat="0" applyBorder="0" applyAlignment="0" applyProtection="0"/>
    <xf numFmtId="9" fontId="0" fillId="0" borderId="0" applyFont="0" applyFill="0" applyBorder="0" applyAlignment="0" applyProtection="0"/>
    <xf numFmtId="0" fontId="2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0" fillId="23" borderId="4" applyNumberFormat="0" applyFont="0" applyAlignment="0" applyProtection="0"/>
    <xf numFmtId="0" fontId="26"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2" applyNumberFormat="0" applyAlignment="0" applyProtection="0"/>
    <xf numFmtId="0" fontId="32" fillId="22" borderId="8" applyNumberFormat="0" applyAlignment="0" applyProtection="0"/>
    <xf numFmtId="0" fontId="33" fillId="31" borderId="9" applyNumberFormat="0" applyAlignment="0" applyProtection="0"/>
    <xf numFmtId="0" fontId="34" fillId="32" borderId="0" applyNumberFormat="0" applyBorder="0" applyAlignment="0" applyProtection="0"/>
    <xf numFmtId="0" fontId="35" fillId="0" borderId="0" applyNumberFormat="0" applyFill="0" applyBorder="0" applyAlignment="0" applyProtection="0"/>
  </cellStyleXfs>
  <cellXfs count="2">
    <xf numFmtId="0" fontId="0" fillId="0" borderId="0" xfId="0" applyFont="1" applyAlignment="1">
      <alignment vertical="center"/>
    </xf>
    <xf numFmtId="0" fontId="36" fillId="0" borderId="0" xfId="0" applyFont="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22"/>
  <sheetViews>
    <sheetView tabSelected="1" zoomScalePageLayoutView="0" workbookViewId="0" topLeftCell="A1">
      <selection activeCell="J10" sqref="J10"/>
    </sheetView>
  </sheetViews>
  <sheetFormatPr defaultColWidth="9.00390625" defaultRowHeight="15.75"/>
  <cols>
    <col min="2" max="2" width="11.75390625" style="0" customWidth="1"/>
    <col min="3" max="3" width="26.75390625" style="0" customWidth="1"/>
    <col min="4" max="4" width="13.875" style="0" bestFit="1" customWidth="1"/>
    <col min="5" max="5" width="23.875" style="0" bestFit="1" customWidth="1"/>
    <col min="6" max="6" width="12.50390625" style="0" bestFit="1" customWidth="1"/>
  </cols>
  <sheetData>
    <row r="1" spans="1:6" ht="21">
      <c r="A1" s="1" t="s">
        <v>78</v>
      </c>
      <c r="B1" s="1"/>
      <c r="C1" s="1"/>
      <c r="D1" s="1"/>
      <c r="E1" s="1"/>
      <c r="F1" s="1"/>
    </row>
    <row r="2" spans="1:6" ht="16.5">
      <c r="A2" t="s">
        <v>0</v>
      </c>
      <c r="B2" t="s">
        <v>1</v>
      </c>
      <c r="C2" t="s">
        <v>2</v>
      </c>
      <c r="D2" t="s">
        <v>3</v>
      </c>
      <c r="E2" t="s">
        <v>4</v>
      </c>
      <c r="F2" t="s">
        <v>5</v>
      </c>
    </row>
    <row r="3" spans="1:6" ht="16.5">
      <c r="A3" t="str">
        <f>"AA006031981"</f>
        <v>AA006031981</v>
      </c>
      <c r="B3" t="str">
        <f>"C1 許金鐘作業廠房新建工程"</f>
        <v>C1 許金鐘作業廠房新建工程</v>
      </c>
      <c r="C3" t="str">
        <f>"(106)桃市都建執照字第會楊00837號"</f>
        <v>(106)桃市都建執照字第會楊00837號</v>
      </c>
      <c r="D3" t="str">
        <f>"108/11/13"</f>
        <v>108/11/13</v>
      </c>
      <c r="E3" t="str">
        <f>"2019/11/13 上午 12:00:00"</f>
        <v>2019/11/13 上午 12:00:00</v>
      </c>
      <c r="F3" t="str">
        <f>"C1"</f>
        <v>C1</v>
      </c>
    </row>
    <row r="4" spans="1:6" ht="16.5">
      <c r="A4" t="str">
        <f>"AA006032041"</f>
        <v>AA006032041</v>
      </c>
      <c r="B4" t="str">
        <f>"C1 烜翔股份有限公司太平區倉庫新建工程"</f>
        <v>C1 烜翔股份有限公司太平區倉庫新建工程</v>
      </c>
      <c r="C4" t="str">
        <f>"106中都建字01595號"</f>
        <v>106中都建字01595號</v>
      </c>
      <c r="D4" t="str">
        <f>"108/11/02"</f>
        <v>108/11/02</v>
      </c>
      <c r="E4" t="str">
        <f>"2019/11/1 上午 12:00:00"</f>
        <v>2019/11/1 上午 12:00:00</v>
      </c>
      <c r="F4" t="str">
        <f>"C1"</f>
        <v>C1</v>
      </c>
    </row>
    <row r="5" spans="1:6" ht="16.5">
      <c r="A5" t="str">
        <f>"AA006032922"</f>
        <v>AA006032922</v>
      </c>
      <c r="B5" t="str">
        <f>"A1 楊麗仙住宅新建工程"</f>
        <v>A1 楊麗仙住宅新建工程</v>
      </c>
      <c r="C5" t="str">
        <f>"106中都建字第001793號 "</f>
        <v>106中都建字第001793號 </v>
      </c>
      <c r="D5" t="str">
        <f>"108/11/18"</f>
        <v>108/11/18</v>
      </c>
      <c r="E5" t="str">
        <f>"2019/11/15 上午 12:00:00"</f>
        <v>2019/11/15 上午 12:00:00</v>
      </c>
      <c r="F5" t="str">
        <f>"A1"</f>
        <v>A1</v>
      </c>
    </row>
    <row r="6" spans="1:6" ht="16.5">
      <c r="A6" t="str">
        <f>"TY106038335"</f>
        <v>TY106038335</v>
      </c>
      <c r="B6" t="str">
        <f>"A1張毅立新建工程"</f>
        <v>A1張毅立新建工程</v>
      </c>
      <c r="C6" t="str">
        <f>"（106）桃市都建執照字第會屋00524號"</f>
        <v>（106）桃市都建執照字第會屋00524號</v>
      </c>
      <c r="D6" t="str">
        <f>"108/11/05"</f>
        <v>108/11/05</v>
      </c>
      <c r="E6" t="str">
        <f>"2019/11/5 上午 12:00:00"</f>
        <v>2019/11/5 上午 12:00:00</v>
      </c>
      <c r="F6" t="str">
        <f>"A1"</f>
        <v>A1</v>
      </c>
    </row>
    <row r="7" spans="1:6" ht="16.5">
      <c r="A7" t="str">
        <f>"TC206038425"</f>
        <v>TC206038425</v>
      </c>
      <c r="B7" t="str">
        <f>"A1 寶斗龍建設有限公司住宅新建工程"</f>
        <v>A1 寶斗龍建設有限公司住宅新建工程</v>
      </c>
      <c r="C7" t="str">
        <f>"(106)府建管(建)字第0233889號"</f>
        <v>(106)府建管(建)字第0233889號</v>
      </c>
      <c r="D7" t="str">
        <f>"108/11/25"</f>
        <v>108/11/25</v>
      </c>
      <c r="E7" t="str">
        <f>"2019/11/22 上午 12:00:00"</f>
        <v>2019/11/22 上午 12:00:00</v>
      </c>
      <c r="F7" t="str">
        <f>"A1"</f>
        <v>A1</v>
      </c>
    </row>
    <row r="8" spans="1:6" ht="16.5">
      <c r="A8" t="str">
        <f>"AA006039158"</f>
        <v>AA006039158</v>
      </c>
      <c r="B8" t="str">
        <f>"五股區五工段廠房增建工程"</f>
        <v>五股區五工段廠房增建工程</v>
      </c>
      <c r="C8" t="str">
        <f>"106股建字第00225號"</f>
        <v>106股建字第00225號</v>
      </c>
      <c r="D8" t="str">
        <f>"108/11/20"</f>
        <v>108/11/20</v>
      </c>
      <c r="E8" t="str">
        <f>"2019/11/13 上午 12:00:00"</f>
        <v>2019/11/13 上午 12:00:00</v>
      </c>
      <c r="F8" t="s">
        <v>6</v>
      </c>
    </row>
    <row r="9" spans="1:6" ht="16.5">
      <c r="A9" t="str">
        <f>"AA006039216"</f>
        <v>AA006039216</v>
      </c>
      <c r="B9" t="str">
        <f>"A1x5駿國建設股份有限公司五戶住宅新建工程(一)"</f>
        <v>A1x5駿國建設股份有限公司五戶住宅新建工程(一)</v>
      </c>
      <c r="C9" t="str">
        <f>"(106)福鄉建字第0011063~0011067號"</f>
        <v>(106)福鄉建字第0011063~0011067號</v>
      </c>
      <c r="D9" t="str">
        <f>"108/11/20"</f>
        <v>108/11/20</v>
      </c>
      <c r="E9" t="str">
        <f>"2019/11/20 上午 12:00:00"</f>
        <v>2019/11/20 上午 12:00:00</v>
      </c>
      <c r="F9" t="str">
        <f>"A1"</f>
        <v>A1</v>
      </c>
    </row>
    <row r="10" spans="1:6" ht="16.5">
      <c r="A10" t="str">
        <f>"AA006039640"</f>
        <v>AA006039640</v>
      </c>
      <c r="B10" t="str">
        <f>"何朝濱 – 港南段住宅新建工程"</f>
        <v>何朝濱 – 港南段住宅新建工程</v>
      </c>
      <c r="C10" t="str">
        <f>"（106）府工建字第00197號"</f>
        <v>（106）府工建字第00197號</v>
      </c>
      <c r="D10" t="str">
        <f>"108/11/04"</f>
        <v>108/11/04</v>
      </c>
      <c r="E10" t="str">
        <f>"2019/11/4 上午 12:00:00"</f>
        <v>2019/11/4 上午 12:00:00</v>
      </c>
      <c r="F10" t="s">
        <v>7</v>
      </c>
    </row>
    <row r="11" spans="1:6" ht="16.5">
      <c r="A11" t="str">
        <f>"AA006040832"</f>
        <v>AA006040832</v>
      </c>
      <c r="B11" t="str">
        <f>"全宏加油站股份有限公司桃園市桃園區水汴頭段加油站新建工程"</f>
        <v>全宏加油站股份有限公司桃園市桃園區水汴頭段加油站新建工程</v>
      </c>
      <c r="C11" t="str">
        <f>"(106)桃市都建執照字第會桃00871號"</f>
        <v>(106)桃市都建執照字第會桃00871號</v>
      </c>
      <c r="D11" t="str">
        <f>"108/11/20"</f>
        <v>108/11/20</v>
      </c>
      <c r="E11" t="str">
        <f>"2019/11/6 上午 12:00:00"</f>
        <v>2019/11/6 上午 12:00:00</v>
      </c>
      <c r="F11" t="s">
        <v>6</v>
      </c>
    </row>
    <row r="12" spans="1:6" ht="16.5">
      <c r="A12" t="str">
        <f>"AA006042802"</f>
        <v>AA006042802</v>
      </c>
      <c r="B12" t="str">
        <f>"鳳山區南華段18-29號住宅新建工程(第一次變更設計)"</f>
        <v>鳳山區南華段18-29號住宅新建工程(第一次變更設計)</v>
      </c>
      <c r="C12" t="str">
        <f>"(106)高市工建築字第00613-01號"</f>
        <v>(106)高市工建築字第00613-01號</v>
      </c>
      <c r="D12" t="str">
        <f>"108/11/18"</f>
        <v>108/11/18</v>
      </c>
      <c r="E12" t="str">
        <f>"2019/11/17 上午 12:00:00"</f>
        <v>2019/11/17 上午 12:00:00</v>
      </c>
      <c r="F12" t="str">
        <f>"A1"</f>
        <v>A1</v>
      </c>
    </row>
    <row r="13" spans="1:6" ht="16.5">
      <c r="A13" t="str">
        <f>"AA006044082"</f>
        <v>AA006044082</v>
      </c>
      <c r="B13" t="s">
        <v>8</v>
      </c>
      <c r="C13" t="str">
        <f>"106建字第0141號"</f>
        <v>106建字第0141號</v>
      </c>
      <c r="D13" t="str">
        <f>"108/11/30"</f>
        <v>108/11/30</v>
      </c>
      <c r="E13" t="str">
        <f>"2019/11/28 上午 12:00:00"</f>
        <v>2019/11/28 上午 12:00:00</v>
      </c>
      <c r="F13" t="s">
        <v>9</v>
      </c>
    </row>
    <row r="14" spans="1:6" ht="16.5">
      <c r="A14" t="str">
        <f>"AA006044208"</f>
        <v>AA006044208</v>
      </c>
      <c r="B14" t="str">
        <f>"廣德營造集合住宅新建工程"</f>
        <v>廣德營造集合住宅新建工程</v>
      </c>
      <c r="C14" t="str">
        <f>"(106)府工建字第00192號"</f>
        <v>(106)府工建字第00192號</v>
      </c>
      <c r="D14" t="str">
        <f>"108/11/28"</f>
        <v>108/11/28</v>
      </c>
      <c r="E14" t="str">
        <f>"2019/11/22 上午 12:00:00"</f>
        <v>2019/11/22 上午 12:00:00</v>
      </c>
      <c r="F14" t="s">
        <v>6</v>
      </c>
    </row>
    <row r="15" spans="1:6" ht="16.5">
      <c r="A15" t="str">
        <f>"TN106045121"</f>
        <v>TN106045121</v>
      </c>
      <c r="B15" t="str">
        <f>"曾淑芬住宅新建工程"</f>
        <v>曾淑芬住宅新建工程</v>
      </c>
      <c r="C15" t="str">
        <f>"(106)南工造字第02812-01號"</f>
        <v>(106)南工造字第02812-01號</v>
      </c>
      <c r="D15" t="str">
        <f>"108/11/19"</f>
        <v>108/11/19</v>
      </c>
      <c r="E15" t="str">
        <f>"2019/11/19 上午 12:00:00"</f>
        <v>2019/11/19 上午 12:00:00</v>
      </c>
      <c r="F15" t="str">
        <f>"A1"</f>
        <v>A1</v>
      </c>
    </row>
    <row r="16" spans="1:6" ht="16.5">
      <c r="A16" t="str">
        <f>"AA006045262"</f>
        <v>AA006045262</v>
      </c>
      <c r="B16" t="str">
        <f>"協坤建設股份有限公司新莊豐年段集合住宅新建工程"</f>
        <v>協坤建設股份有限公司新莊豐年段集合住宅新建工程</v>
      </c>
      <c r="C16" t="str">
        <f>"106莊建字第00197號"</f>
        <v>106莊建字第00197號</v>
      </c>
      <c r="D16" t="str">
        <f>"108/11/14"</f>
        <v>108/11/14</v>
      </c>
      <c r="E16" t="str">
        <f>"2019/11/11 上午 12:00:00"</f>
        <v>2019/11/11 上午 12:00:00</v>
      </c>
      <c r="F16" t="s">
        <v>6</v>
      </c>
    </row>
    <row r="17" spans="1:6" ht="16.5">
      <c r="A17" t="str">
        <f>"AA006047006"</f>
        <v>AA006047006</v>
      </c>
      <c r="B17" t="str">
        <f>"大園區橫山書法公園暨書法美術館新建工程"</f>
        <v>大園區橫山書法公園暨書法美術館新建工程</v>
      </c>
      <c r="C17" t="str">
        <f>"106桃市都建執照字第會園00872號"</f>
        <v>106桃市都建執照字第會園00872號</v>
      </c>
      <c r="D17" t="str">
        <f>"108/11/19"</f>
        <v>108/11/19</v>
      </c>
      <c r="E17" t="str">
        <f>"2019/11/1 上午 12:00:00"</f>
        <v>2019/11/1 上午 12:00:00</v>
      </c>
      <c r="F17" t="s">
        <v>6</v>
      </c>
    </row>
    <row r="18" spans="1:6" ht="16.5">
      <c r="A18" t="str">
        <f>"AA006047180"</f>
        <v>AA006047180</v>
      </c>
      <c r="B18" t="str">
        <f>"三豐建設橋北段二小段347地號新建工程"</f>
        <v>三豐建設橋北段二小段347地號新建工程</v>
      </c>
      <c r="C18" t="str">
        <f>"106建字第0161號"</f>
        <v>106建字第0161號</v>
      </c>
      <c r="D18" t="str">
        <f>"108/11/18"</f>
        <v>108/11/18</v>
      </c>
      <c r="E18" t="str">
        <f>"2019/11/11 上午 12:00:00"</f>
        <v>2019/11/11 上午 12:00:00</v>
      </c>
      <c r="F18" t="s">
        <v>6</v>
      </c>
    </row>
    <row r="19" spans="1:6" ht="16.5">
      <c r="A19" t="str">
        <f>"AA006047879"</f>
        <v>AA006047879</v>
      </c>
      <c r="B19" t="str">
        <f>"A1 王亭雅住宅新建工程"</f>
        <v>A1 王亭雅住宅新建工程</v>
      </c>
      <c r="C19" t="str">
        <f>"(106)溪鄉建字第0012139號"</f>
        <v>(106)溪鄉建字第0012139號</v>
      </c>
      <c r="D19" t="str">
        <f>"108/11/18"</f>
        <v>108/11/18</v>
      </c>
      <c r="E19" t="str">
        <f>"2019/11/18 上午 12:00:00"</f>
        <v>2019/11/18 上午 12:00:00</v>
      </c>
      <c r="F19" t="str">
        <f>"A1"</f>
        <v>A1</v>
      </c>
    </row>
    <row r="20" spans="1:6" ht="16.5">
      <c r="A20" t="str">
        <f>"AA006048891"</f>
        <v>AA006048891</v>
      </c>
      <c r="B20" t="str">
        <f>"A1 巫政鴻住宅新建工程"</f>
        <v>A1 巫政鴻住宅新建工程</v>
      </c>
      <c r="C20" t="str">
        <f>"(106)府建管(建)字第0321077號"</f>
        <v>(106)府建管(建)字第0321077號</v>
      </c>
      <c r="D20" t="str">
        <f>"108/11/25"</f>
        <v>108/11/25</v>
      </c>
      <c r="E20" t="str">
        <f>"2019/11/22 上午 12:00:00"</f>
        <v>2019/11/22 上午 12:00:00</v>
      </c>
      <c r="F20" t="str">
        <f>"A1"</f>
        <v>A1</v>
      </c>
    </row>
    <row r="21" spans="1:6" ht="16.5">
      <c r="A21" t="str">
        <f>"AA006050900"</f>
        <v>AA006050900</v>
      </c>
      <c r="B21" t="str">
        <f>"葉忠達住宅新建工程"</f>
        <v>葉忠達住宅新建工程</v>
      </c>
      <c r="C21" t="str">
        <f>"(106)府工建字第00213號"</f>
        <v>(106)府工建字第00213號</v>
      </c>
      <c r="D21" t="str">
        <f>"108/11/25"</f>
        <v>108/11/25</v>
      </c>
      <c r="E21" t="str">
        <f>"2019/11/22 上午 12:00:00"</f>
        <v>2019/11/22 上午 12:00:00</v>
      </c>
      <c r="F21" t="str">
        <f>"A1"</f>
        <v>A1</v>
      </c>
    </row>
    <row r="22" spans="1:6" ht="16.5">
      <c r="A22" t="str">
        <f>"AA006050935"</f>
        <v>AA006050935</v>
      </c>
      <c r="B22" t="str">
        <f>"陳秀惠住宅新建工程"</f>
        <v>陳秀惠住宅新建工程</v>
      </c>
      <c r="C22" t="str">
        <f>"(106)府工建字第00210號"</f>
        <v>(106)府工建字第00210號</v>
      </c>
      <c r="D22" t="str">
        <f>"108/11/25"</f>
        <v>108/11/25</v>
      </c>
      <c r="E22" t="str">
        <f>"2019/11/22 上午 12:00:00"</f>
        <v>2019/11/22 上午 12:00:00</v>
      </c>
      <c r="F22" t="str">
        <f>"A1"</f>
        <v>A1</v>
      </c>
    </row>
    <row r="23" spans="1:6" ht="16.5">
      <c r="A23" t="str">
        <f>"AA006051248"</f>
        <v>AA006051248</v>
      </c>
      <c r="B23" t="str">
        <f>"馮富茂  住宅 新建工程"</f>
        <v>馮富茂  住宅 新建工程</v>
      </c>
      <c r="C23" t="str">
        <f>"(106)南工造字第03414號"</f>
        <v>(106)南工造字第03414號</v>
      </c>
      <c r="D23" t="str">
        <f>"108/11/04"</f>
        <v>108/11/04</v>
      </c>
      <c r="E23" t="str">
        <f>"2019/11/4 上午 12:00:00"</f>
        <v>2019/11/4 上午 12:00:00</v>
      </c>
      <c r="F23" t="str">
        <f>"A1"</f>
        <v>A1</v>
      </c>
    </row>
    <row r="24" spans="1:6" ht="16.5">
      <c r="A24" t="str">
        <f>"AA006053144"</f>
        <v>AA006053144</v>
      </c>
      <c r="B24" t="str">
        <f>"中國開發 中山北路二段住宅案"</f>
        <v>中國開發 中山北路二段住宅案</v>
      </c>
      <c r="C24" t="str">
        <f>"106建字第0159號"</f>
        <v>106建字第0159號</v>
      </c>
      <c r="D24" t="str">
        <f>"108/11/18"</f>
        <v>108/11/18</v>
      </c>
      <c r="E24" t="str">
        <f>"2019/11/11 上午 12:00:00"</f>
        <v>2019/11/11 上午 12:00:00</v>
      </c>
      <c r="F24" t="s">
        <v>6</v>
      </c>
    </row>
    <row r="25" spans="1:6" ht="16.5">
      <c r="A25" t="str">
        <f>"AA006057144"</f>
        <v>AA006057144</v>
      </c>
      <c r="B25" t="str">
        <f>"中麓建設桃園市中路區58地號集合住宅工程"</f>
        <v>中麓建設桃園市中路區58地號集合住宅工程</v>
      </c>
      <c r="C25" t="str">
        <f>"(104)桃市都建執照字第會桃01322-01號"</f>
        <v>(104)桃市都建執照字第會桃01322-01號</v>
      </c>
      <c r="D25" t="str">
        <f>"108/11/20"</f>
        <v>108/11/20</v>
      </c>
      <c r="E25" t="str">
        <f>"2019/10/6 上午 12:00:00"</f>
        <v>2019/10/6 上午 12:00:00</v>
      </c>
      <c r="F25" t="s">
        <v>10</v>
      </c>
    </row>
    <row r="26" spans="1:6" ht="16.5">
      <c r="A26" t="str">
        <f>"AA006057665"</f>
        <v>AA006057665</v>
      </c>
      <c r="B26" t="str">
        <f>"A1 謝藍琪住宅新建工程"</f>
        <v>A1 謝藍琪住宅新建工程</v>
      </c>
      <c r="C26" t="str">
        <f>"(106)府建管(建)字第0261580號"</f>
        <v>(106)府建管(建)字第0261580號</v>
      </c>
      <c r="D26" t="str">
        <f>"108/11/30"</f>
        <v>108/11/30</v>
      </c>
      <c r="E26" t="str">
        <f>"2019/11/29 上午 12:00:00"</f>
        <v>2019/11/29 上午 12:00:00</v>
      </c>
      <c r="F26" t="str">
        <f>"A1"</f>
        <v>A1</v>
      </c>
    </row>
    <row r="27" spans="1:6" ht="16.5">
      <c r="A27" t="str">
        <f>"AA006057953"</f>
        <v>AA006057953</v>
      </c>
      <c r="B27" t="str">
        <f>"家祥紙業三重伍層廠辦大樓新建工程"</f>
        <v>家祥紙業三重伍層廠辦大樓新建工程</v>
      </c>
      <c r="C27" t="str">
        <f>"106重建字第00315號"</f>
        <v>106重建字第00315號</v>
      </c>
      <c r="D27" t="str">
        <f>"108/11/15"</f>
        <v>108/11/15</v>
      </c>
      <c r="E27" t="str">
        <f>"2019/11/12 上午 12:00:00"</f>
        <v>2019/11/12 上午 12:00:00</v>
      </c>
      <c r="F27" t="s">
        <v>6</v>
      </c>
    </row>
    <row r="28" spans="1:6" ht="16.5">
      <c r="A28" t="str">
        <f>"AA006059270"</f>
        <v>AA006059270</v>
      </c>
      <c r="B28" t="s">
        <v>11</v>
      </c>
      <c r="C28" t="str">
        <f>"(106)永鄉建字第0012299~0012302號"</f>
        <v>(106)永鄉建字第0012299~0012302號</v>
      </c>
      <c r="D28" t="str">
        <f>"108/11/11"</f>
        <v>108/11/11</v>
      </c>
      <c r="E28" t="str">
        <f>"2019/11/11 上午 12:00:00"</f>
        <v>2019/11/11 上午 12:00:00</v>
      </c>
      <c r="F28" t="s">
        <v>12</v>
      </c>
    </row>
    <row r="29" spans="1:6" ht="16.5">
      <c r="A29" t="str">
        <f>"AA006059460"</f>
        <v>AA006059460</v>
      </c>
      <c r="B29" t="str">
        <f>"陳錦治  住宅 新建工程"</f>
        <v>陳錦治  住宅 新建工程</v>
      </c>
      <c r="C29" t="str">
        <f>"(106)南工造字第03557號"</f>
        <v>(106)南工造字第03557號</v>
      </c>
      <c r="D29" t="str">
        <f>"108/11/09"</f>
        <v>108/11/09</v>
      </c>
      <c r="E29" t="str">
        <f>"2019/11/6 上午 12:00:00"</f>
        <v>2019/11/6 上午 12:00:00</v>
      </c>
      <c r="F29" t="str">
        <f aca="true" t="shared" si="0" ref="F29:F35">"A1"</f>
        <v>A1</v>
      </c>
    </row>
    <row r="30" spans="1:6" ht="16.5">
      <c r="A30" t="str">
        <f>"AA006060168"</f>
        <v>AA006060168</v>
      </c>
      <c r="B30" t="str">
        <f>"林蔡碧蘭住宅新建工程"</f>
        <v>林蔡碧蘭住宅新建工程</v>
      </c>
      <c r="C30" t="str">
        <f>"(106)南工造字第03607號"</f>
        <v>(106)南工造字第03607號</v>
      </c>
      <c r="D30" t="str">
        <f>"108/11/06"</f>
        <v>108/11/06</v>
      </c>
      <c r="E30" t="str">
        <f>"2019/11/6 上午 12:00:00"</f>
        <v>2019/11/6 上午 12:00:00</v>
      </c>
      <c r="F30" t="str">
        <f t="shared" si="0"/>
        <v>A1</v>
      </c>
    </row>
    <row r="31" spans="1:6" ht="16.5">
      <c r="A31" t="str">
        <f>"AA006060712"</f>
        <v>AA006060712</v>
      </c>
      <c r="B31" t="str">
        <f>"A1x2 李家和.李秉諺等二戶住宅新建工程"</f>
        <v>A1x2 李家和.李秉諺等二戶住宅新建工程</v>
      </c>
      <c r="C31" t="s">
        <v>13</v>
      </c>
      <c r="D31" t="str">
        <f>"108/11/19"</f>
        <v>108/11/19</v>
      </c>
      <c r="E31" t="str">
        <f>"2019/11/18 上午 12:00:00"</f>
        <v>2019/11/18 上午 12:00:00</v>
      </c>
      <c r="F31" t="str">
        <f t="shared" si="0"/>
        <v>A1</v>
      </c>
    </row>
    <row r="32" spans="1:6" ht="16.5">
      <c r="A32" t="str">
        <f>"AA006061013"</f>
        <v>AA006061013</v>
      </c>
      <c r="B32" t="str">
        <f>"松懋建設有限公司壯圍吉祥一段住宅新建工程"</f>
        <v>松懋建設有限公司壯圍吉祥一段住宅新建工程</v>
      </c>
      <c r="C32" t="str">
        <f>"106.9.14建管建字第00495-00499號"</f>
        <v>106.9.14建管建字第00495-00499號</v>
      </c>
      <c r="D32" t="str">
        <f>"108/11/25"</f>
        <v>108/11/25</v>
      </c>
      <c r="E32" t="str">
        <f>"2019/11/21 上午 12:00:00"</f>
        <v>2019/11/21 上午 12:00:00</v>
      </c>
      <c r="F32" t="str">
        <f t="shared" si="0"/>
        <v>A1</v>
      </c>
    </row>
    <row r="33" spans="1:6" ht="16.5">
      <c r="A33" t="str">
        <f>"AA006061090"</f>
        <v>AA006061090</v>
      </c>
      <c r="B33" t="str">
        <f>"A1 蕭福建住宅新建工程"</f>
        <v>A1 蕭福建住宅新建工程</v>
      </c>
      <c r="C33" t="str">
        <f>"(106)社鄉(建)字第0015149號"</f>
        <v>(106)社鄉(建)字第0015149號</v>
      </c>
      <c r="D33" t="str">
        <f>"108/11/14"</f>
        <v>108/11/14</v>
      </c>
      <c r="E33" t="str">
        <f>"2019/11/14 上午 12:00:00"</f>
        <v>2019/11/14 上午 12:00:00</v>
      </c>
      <c r="F33" t="str">
        <f t="shared" si="0"/>
        <v>A1</v>
      </c>
    </row>
    <row r="34" spans="1:6" ht="16.5">
      <c r="A34" t="str">
        <f>"AA006065504"</f>
        <v>AA006065504</v>
      </c>
      <c r="B34" t="str">
        <f>"謝宜雄 住宅新建工程"</f>
        <v>謝宜雄 住宅新建工程</v>
      </c>
      <c r="C34" t="str">
        <f>"(106)高市工建築字第02142號"</f>
        <v>(106)高市工建築字第02142號</v>
      </c>
      <c r="D34" t="str">
        <f>"108/11/19"</f>
        <v>108/11/19</v>
      </c>
      <c r="E34" t="str">
        <f>"2019/11/18 上午 12:00:00"</f>
        <v>2019/11/18 上午 12:00:00</v>
      </c>
      <c r="F34" t="str">
        <f t="shared" si="0"/>
        <v>A1</v>
      </c>
    </row>
    <row r="35" spans="1:6" ht="16.5">
      <c r="A35" t="str">
        <f>"AA006065575"</f>
        <v>AA006065575</v>
      </c>
      <c r="B35" t="str">
        <f>"A1 陳柏宇住宅新建工程"</f>
        <v>A1 陳柏宇住宅新建工程</v>
      </c>
      <c r="C35" t="str">
        <f>"106中都建字第02051號"</f>
        <v>106中都建字第02051號</v>
      </c>
      <c r="D35" t="str">
        <f>"108/11/12"</f>
        <v>108/11/12</v>
      </c>
      <c r="E35" t="str">
        <f>"2019/11/12 上午 12:00:00"</f>
        <v>2019/11/12 上午 12:00:00</v>
      </c>
      <c r="F35" t="str">
        <f t="shared" si="0"/>
        <v>A1</v>
      </c>
    </row>
    <row r="36" spans="1:6" ht="16.5">
      <c r="A36" t="str">
        <f>"AA006065863"</f>
        <v>AA006065863</v>
      </c>
      <c r="B36" t="str">
        <f>"C1(C2)茂峰建設股份有限公司10戶住宅新建工程"</f>
        <v>C1(C2)茂峰建設股份有限公司10戶住宅新建工程</v>
      </c>
      <c r="C36" t="str">
        <f>"(106)桃市都建執照第會壢00600號"</f>
        <v>(106)桃市都建執照第會壢00600號</v>
      </c>
      <c r="D36" t="str">
        <f>"108/11/26"</f>
        <v>108/11/26</v>
      </c>
      <c r="E36" t="str">
        <f>"2019/11/13 上午 12:00:00"</f>
        <v>2019/11/13 上午 12:00:00</v>
      </c>
      <c r="F36" t="s">
        <v>6</v>
      </c>
    </row>
    <row r="37" spans="1:6" ht="16.5">
      <c r="A37" t="str">
        <f>"AA006067028"</f>
        <v>AA006067028</v>
      </c>
      <c r="B37" t="str">
        <f>"山川營造工程股份有限公司集合住宅新建工程"</f>
        <v>山川營造工程股份有限公司集合住宅新建工程</v>
      </c>
      <c r="C37" t="str">
        <f>"(106)南工造字第02356號"</f>
        <v>(106)南工造字第02356號</v>
      </c>
      <c r="D37" t="str">
        <f>"108/11/04"</f>
        <v>108/11/04</v>
      </c>
      <c r="E37" t="str">
        <f>"2019/10/30 上午 12:00:00"</f>
        <v>2019/10/30 上午 12:00:00</v>
      </c>
      <c r="F37" t="s">
        <v>6</v>
      </c>
    </row>
    <row r="38" spans="1:6" ht="16.5">
      <c r="A38" t="str">
        <f>"AA006068608"</f>
        <v>AA006068608</v>
      </c>
      <c r="B38" t="str">
        <f>"韓明寰住宅新建工程"</f>
        <v>韓明寰住宅新建工程</v>
      </c>
      <c r="C38" t="str">
        <f>"(106)南工造字第03311號"</f>
        <v>(106)南工造字第03311號</v>
      </c>
      <c r="D38" t="str">
        <f>"108/11/06"</f>
        <v>108/11/06</v>
      </c>
      <c r="E38" t="str">
        <f>"2019/11/6 上午 12:00:00"</f>
        <v>2019/11/6 上午 12:00:00</v>
      </c>
      <c r="F38" t="str">
        <f>"A1"</f>
        <v>A1</v>
      </c>
    </row>
    <row r="39" spans="1:6" ht="16.5">
      <c r="A39" t="str">
        <f>"AA006068679"</f>
        <v>AA006068679</v>
      </c>
      <c r="B39" t="str">
        <f>"A1-蔡明昌住宅新建工程"</f>
        <v>A1-蔡明昌住宅新建工程</v>
      </c>
      <c r="C39" t="str">
        <f>"(106)(雲)營建字第890號"</f>
        <v>(106)(雲)營建字第890號</v>
      </c>
      <c r="D39" t="str">
        <f>"108/11/28"</f>
        <v>108/11/28</v>
      </c>
      <c r="E39" t="str">
        <f>"2019/11/28 上午 12:00:00"</f>
        <v>2019/11/28 上午 12:00:00</v>
      </c>
      <c r="F39" t="str">
        <f>"A1"</f>
        <v>A1</v>
      </c>
    </row>
    <row r="40" spans="1:6" ht="16.5">
      <c r="A40" t="str">
        <f>"AA006069041"</f>
        <v>AA006069041</v>
      </c>
      <c r="B40" t="str">
        <f>"A1 立久建設有限公司住宅新建工程"</f>
        <v>A1 立久建設有限公司住宅新建工程</v>
      </c>
      <c r="C40" t="str">
        <f>"106中都建字第02219號"</f>
        <v>106中都建字第02219號</v>
      </c>
      <c r="D40" t="str">
        <f>"108/11/17"</f>
        <v>108/11/17</v>
      </c>
      <c r="E40" t="str">
        <f>"2019/11/13 上午 12:00:00"</f>
        <v>2019/11/13 上午 12:00:00</v>
      </c>
      <c r="F40" t="str">
        <f>"A1"</f>
        <v>A1</v>
      </c>
    </row>
    <row r="41" spans="1:6" ht="16.5">
      <c r="A41" t="str">
        <f>"AA006070258"</f>
        <v>AA006070258</v>
      </c>
      <c r="B41" t="str">
        <f>"大博鋼鐵 高雄新生路 BMW 展示暨服務廠 新建工程"</f>
        <v>大博鋼鐵 高雄新生路 BMW 展示暨服務廠 新建工程</v>
      </c>
      <c r="C41" t="str">
        <f>"(106)高市工建築字第02167號"</f>
        <v>(106)高市工建築字第02167號</v>
      </c>
      <c r="D41" t="str">
        <f>"108/11/20"</f>
        <v>108/11/20</v>
      </c>
      <c r="E41" t="str">
        <f>"2019/11/20 上午 12:00:00"</f>
        <v>2019/11/20 上午 12:00:00</v>
      </c>
      <c r="F41" t="str">
        <f>"D1"</f>
        <v>D1</v>
      </c>
    </row>
    <row r="42" spans="1:6" ht="16.5">
      <c r="A42" t="str">
        <f>"AA006070712"</f>
        <v>AA006070712</v>
      </c>
      <c r="B42" t="str">
        <f>"A1x6 大昌建設有限公司6戶住宅新建工程"</f>
        <v>A1x6 大昌建設有限公司6戶住宅新建工程</v>
      </c>
      <c r="C42" t="str">
        <f>"(106)投埔鎮工(造)字第00094~00099號"</f>
        <v>(106)投埔鎮工(造)字第00094~00099號</v>
      </c>
      <c r="D42" t="str">
        <f>"108/11/26"</f>
        <v>108/11/26</v>
      </c>
      <c r="E42" t="str">
        <f>"2019/11/22 上午 12:00:00"</f>
        <v>2019/11/22 上午 12:00:00</v>
      </c>
      <c r="F42" t="str">
        <f>"A1"</f>
        <v>A1</v>
      </c>
    </row>
    <row r="43" spans="1:6" ht="16.5">
      <c r="A43" t="str">
        <f>"AA006070935"</f>
        <v>AA006070935</v>
      </c>
      <c r="B43" t="str">
        <f>"興隆段集合住宅新建工程"</f>
        <v>興隆段集合住宅新建工程</v>
      </c>
      <c r="C43" t="str">
        <f>"105建字第0176號"</f>
        <v>105建字第0176號</v>
      </c>
      <c r="D43" t="str">
        <f>"108/11/04"</f>
        <v>108/11/04</v>
      </c>
      <c r="E43" t="str">
        <f>"2019/10/23 上午 12:00:00"</f>
        <v>2019/10/23 上午 12:00:00</v>
      </c>
      <c r="F43" t="s">
        <v>6</v>
      </c>
    </row>
    <row r="44" spans="1:6" ht="16.5">
      <c r="A44" t="str">
        <f>"AA006071504"</f>
        <v>AA006071504</v>
      </c>
      <c r="B44" t="str">
        <f>"A1x2 柯懿芝.柯灌玲.柯政雄二戶住宅新建工程"</f>
        <v>A1x2 柯懿芝.柯灌玲.柯政雄二戶住宅新建工程</v>
      </c>
      <c r="C44" t="s">
        <v>14</v>
      </c>
      <c r="D44" t="str">
        <f>"108/11/25"</f>
        <v>108/11/25</v>
      </c>
      <c r="E44" t="str">
        <f>"2019/11/21 上午 12:00:00"</f>
        <v>2019/11/21 上午 12:00:00</v>
      </c>
      <c r="F44" t="str">
        <f>"A1"</f>
        <v>A1</v>
      </c>
    </row>
    <row r="45" spans="1:6" ht="16.5">
      <c r="A45" t="str">
        <f>"AA006071532"</f>
        <v>AA006071532</v>
      </c>
      <c r="B45" t="str">
        <f>"C1 黃耀勤幼兒園新建工程"</f>
        <v>C1 黃耀勤幼兒園新建工程</v>
      </c>
      <c r="C45" t="str">
        <f>"(106)府建管(建)字第0308070號"</f>
        <v>(106)府建管(建)字第0308070號</v>
      </c>
      <c r="D45" t="str">
        <f>"108/11/21"</f>
        <v>108/11/21</v>
      </c>
      <c r="E45" t="str">
        <f>"2019/11/18 上午 12:00:00"</f>
        <v>2019/11/18 上午 12:00:00</v>
      </c>
      <c r="F45" t="str">
        <f>"C1"</f>
        <v>C1</v>
      </c>
    </row>
    <row r="46" spans="1:6" ht="16.5">
      <c r="A46" t="str">
        <f>"AA006072969"</f>
        <v>AA006072969</v>
      </c>
      <c r="B46" t="str">
        <f>"C1(C2)桃園市平鎮區公所新勢.新榮.廣興里聯合集會所新建工程"</f>
        <v>C1(C2)桃園市平鎮區公所新勢.新榮.廣興里聯合集會所新建工程</v>
      </c>
      <c r="C46" t="str">
        <f>"(106)桃市都建執照字第會平01107號"</f>
        <v>(106)桃市都建執照字第會平01107號</v>
      </c>
      <c r="D46" t="str">
        <f>"108/11/17"</f>
        <v>108/11/17</v>
      </c>
      <c r="E46" t="str">
        <f>"2019/11/15 上午 12:00:00"</f>
        <v>2019/11/15 上午 12:00:00</v>
      </c>
      <c r="F46" t="s">
        <v>6</v>
      </c>
    </row>
    <row r="47" spans="1:6" ht="16.5">
      <c r="A47" t="str">
        <f>"AA006072981"</f>
        <v>AA006072981</v>
      </c>
      <c r="B47" t="str">
        <f>"A1 江啟榮住宅新建工程"</f>
        <v>A1 江啟榮住宅新建工程</v>
      </c>
      <c r="C47" t="str">
        <f>"106中都建字第01872號"</f>
        <v>106中都建字第01872號</v>
      </c>
      <c r="D47" t="str">
        <f>"108/11/02"</f>
        <v>108/11/02</v>
      </c>
      <c r="E47" t="str">
        <f>"2019/11/1 上午 12:00:00"</f>
        <v>2019/11/1 上午 12:00:00</v>
      </c>
      <c r="F47" t="str">
        <f>"A1"</f>
        <v>A1</v>
      </c>
    </row>
    <row r="48" spans="1:6" ht="16.5">
      <c r="A48" t="str">
        <f>"AA006073773"</f>
        <v>AA006073773</v>
      </c>
      <c r="B48" t="str">
        <f>"地景建設龜山區龍華段集合住宅新建工程"</f>
        <v>地景建設龜山區龍華段集合住宅新建工程</v>
      </c>
      <c r="C48" t="str">
        <f>"(106)桃市都建執照字第會龜01116號"</f>
        <v>(106)桃市都建執照字第會龜01116號</v>
      </c>
      <c r="D48" t="str">
        <f>"108/11/08"</f>
        <v>108/11/08</v>
      </c>
      <c r="E48" t="str">
        <f>"2019/11/6 上午 12:00:00"</f>
        <v>2019/11/6 上午 12:00:00</v>
      </c>
      <c r="F48" t="s">
        <v>6</v>
      </c>
    </row>
    <row r="49" spans="1:6" ht="16.5">
      <c r="A49" t="str">
        <f>"AA006075262"</f>
        <v>AA006075262</v>
      </c>
      <c r="B49" t="str">
        <f>"蔣孫梅真  住宅新建工程"</f>
        <v>蔣孫梅真  住宅新建工程</v>
      </c>
      <c r="C49" t="str">
        <f>"(106)屏府城管建(東)字第01486號"</f>
        <v>(106)屏府城管建(東)字第01486號</v>
      </c>
      <c r="D49" t="str">
        <f>"108/11/15"</f>
        <v>108/11/15</v>
      </c>
      <c r="E49" t="str">
        <f>"2019/11/14 上午 12:00:00"</f>
        <v>2019/11/14 上午 12:00:00</v>
      </c>
      <c r="F49" t="str">
        <f aca="true" t="shared" si="1" ref="F49:F56">"A1"</f>
        <v>A1</v>
      </c>
    </row>
    <row r="50" spans="1:6" ht="16.5">
      <c r="A50" t="str">
        <f>"AA006075998"</f>
        <v>AA006075998</v>
      </c>
      <c r="B50" t="str">
        <f>"楊豐榮等新生段住宅新建工程"</f>
        <v>楊豐榮等新生段住宅新建工程</v>
      </c>
      <c r="C50" t="str">
        <f>"(106)高市工建築字第02299~02300"</f>
        <v>(106)高市工建築字第02299~02300</v>
      </c>
      <c r="D50" t="str">
        <f>"108/11/28"</f>
        <v>108/11/28</v>
      </c>
      <c r="E50" t="str">
        <f>"2019/11/27 上午 12:00:00"</f>
        <v>2019/11/27 上午 12:00:00</v>
      </c>
      <c r="F50" t="str">
        <f t="shared" si="1"/>
        <v>A1</v>
      </c>
    </row>
    <row r="51" spans="1:6" ht="16.5">
      <c r="A51" t="str">
        <f>"AA006076103"</f>
        <v>AA006076103</v>
      </c>
      <c r="B51" t="str">
        <f>"陳智斌店舖住宅"</f>
        <v>陳智斌店舖住宅</v>
      </c>
      <c r="C51" t="str">
        <f>"(106)南工造字第04018號"</f>
        <v>(106)南工造字第04018號</v>
      </c>
      <c r="D51" t="str">
        <f>"108/11/09"</f>
        <v>108/11/09</v>
      </c>
      <c r="E51" t="str">
        <f>"2019/11/8 上午 12:00:00"</f>
        <v>2019/11/8 上午 12:00:00</v>
      </c>
      <c r="F51" t="str">
        <f t="shared" si="1"/>
        <v>A1</v>
      </c>
    </row>
    <row r="52" spans="1:6" ht="16.5">
      <c r="A52" t="str">
        <f>"AA006076144"</f>
        <v>AA006076144</v>
      </c>
      <c r="B52" t="str">
        <f>"A1 歐澄郁住宅新建工程"</f>
        <v>A1 歐澄郁住宅新建工程</v>
      </c>
      <c r="C52" t="str">
        <f>"106中都建字第02186號"</f>
        <v>106中都建字第02186號</v>
      </c>
      <c r="D52" t="str">
        <f>"108/11/06"</f>
        <v>108/11/06</v>
      </c>
      <c r="E52" t="str">
        <f>"2019/11/4 上午 12:00:00"</f>
        <v>2019/11/4 上午 12:00:00</v>
      </c>
      <c r="F52" t="str">
        <f t="shared" si="1"/>
        <v>A1</v>
      </c>
    </row>
    <row r="53" spans="1:6" ht="16.5">
      <c r="A53" t="str">
        <f>"AA006076360"</f>
        <v>AA006076360</v>
      </c>
      <c r="B53" t="str">
        <f>"A1陳錦滿 龍潭區建國段住宅新建工程"</f>
        <v>A1陳錦滿 龍潭區建國段住宅新建工程</v>
      </c>
      <c r="C53" t="str">
        <f>"(106)桃市都建執照字第會龍01140號"</f>
        <v>(106)桃市都建執照字第會龍01140號</v>
      </c>
      <c r="D53" t="str">
        <f>"108/11/20"</f>
        <v>108/11/20</v>
      </c>
      <c r="E53" t="str">
        <f>"2019/11/15 上午 12:00:00"</f>
        <v>2019/11/15 上午 12:00:00</v>
      </c>
      <c r="F53" t="str">
        <f t="shared" si="1"/>
        <v>A1</v>
      </c>
    </row>
    <row r="54" spans="1:6" ht="16.5">
      <c r="A54" t="str">
        <f>"AA006076891"</f>
        <v>AA006076891</v>
      </c>
      <c r="B54" t="str">
        <f>"A1-陳弘哲.陳威廷住宅新建工程"</f>
        <v>A1-陳弘哲.陳威廷住宅新建工程</v>
      </c>
      <c r="C54" t="str">
        <f>"(106)嘉新鄉建字第00075~00076號"</f>
        <v>(106)嘉新鄉建字第00075~00076號</v>
      </c>
      <c r="D54" t="str">
        <f>"108/11/06"</f>
        <v>108/11/06</v>
      </c>
      <c r="E54" t="str">
        <f>"2019/11/4 上午 12:00:00"</f>
        <v>2019/11/4 上午 12:00:00</v>
      </c>
      <c r="F54" t="str">
        <f t="shared" si="1"/>
        <v>A1</v>
      </c>
    </row>
    <row r="55" spans="1:6" ht="16.5">
      <c r="A55" t="str">
        <f>"AA006077292"</f>
        <v>AA006077292</v>
      </c>
      <c r="B55" t="str">
        <f>"桂冠開發建設黎明段773-5地號住宅新建工程"</f>
        <v>桂冠開發建設黎明段773-5地號住宅新建工程</v>
      </c>
      <c r="C55" t="str">
        <f>"106.5.15建管建字第00237號"</f>
        <v>106.5.15建管建字第00237號</v>
      </c>
      <c r="D55" t="str">
        <f>"108/11/06"</f>
        <v>108/11/06</v>
      </c>
      <c r="E55" t="str">
        <f>"2019/11/4 上午 12:00:00"</f>
        <v>2019/11/4 上午 12:00:00</v>
      </c>
      <c r="F55" t="str">
        <f t="shared" si="1"/>
        <v>A1</v>
      </c>
    </row>
    <row r="56" spans="1:6" ht="16.5">
      <c r="A56" t="str">
        <f>"AA006077324"</f>
        <v>AA006077324</v>
      </c>
      <c r="B56" t="str">
        <f>"A1x3 謝仁義等三戶住宅新建工程"</f>
        <v>A1x3 謝仁義等三戶住宅新建工程</v>
      </c>
      <c r="C56" t="s">
        <v>15</v>
      </c>
      <c r="D56" t="str">
        <f>"108/11/18"</f>
        <v>108/11/18</v>
      </c>
      <c r="E56" t="str">
        <f>"2019/11/13 上午 12:00:00"</f>
        <v>2019/11/13 上午 12:00:00</v>
      </c>
      <c r="F56" t="str">
        <f t="shared" si="1"/>
        <v>A1</v>
      </c>
    </row>
    <row r="57" spans="1:6" ht="16.5">
      <c r="A57" t="str">
        <f>"AA006077352"</f>
        <v>AA006077352</v>
      </c>
      <c r="B57" t="str">
        <f>"恒大股份有限公司廠房"</f>
        <v>恒大股份有限公司廠房</v>
      </c>
      <c r="C57" t="str">
        <f>"(106)南工造字第04068號"</f>
        <v>(106)南工造字第04068號</v>
      </c>
      <c r="D57" t="str">
        <f>"108/11/11"</f>
        <v>108/11/11</v>
      </c>
      <c r="E57" t="str">
        <f>"2019/11/4 上午 12:00:00"</f>
        <v>2019/11/4 上午 12:00:00</v>
      </c>
      <c r="F57" t="str">
        <f>"D1"</f>
        <v>D1</v>
      </c>
    </row>
    <row r="58" spans="1:6" ht="16.5">
      <c r="A58" t="str">
        <f>"AA006078168"</f>
        <v>AA006078168</v>
      </c>
      <c r="B58" t="str">
        <f>"D1 利徠實業股份有限公司廠房.辦公室新建工程"</f>
        <v>D1 利徠實業股份有限公司廠房.辦公室新建工程</v>
      </c>
      <c r="C58" t="str">
        <f>"106中都建字第02272號"</f>
        <v>106中都建字第02272號</v>
      </c>
      <c r="D58" t="str">
        <f>"108/11/14"</f>
        <v>108/11/14</v>
      </c>
      <c r="E58" t="str">
        <f>"2019/11/11 上午 12:00:00"</f>
        <v>2019/11/11 上午 12:00:00</v>
      </c>
      <c r="F58" t="str">
        <f>"D1"</f>
        <v>D1</v>
      </c>
    </row>
    <row r="59" spans="1:6" ht="16.5">
      <c r="A59" t="str">
        <f>"AA006079789"</f>
        <v>AA006079789</v>
      </c>
      <c r="B59" t="str">
        <f>"李嘉偉店舖、辦公室、住宅新建工程"</f>
        <v>李嘉偉店舖、辦公室、住宅新建工程</v>
      </c>
      <c r="C59" t="str">
        <f>"(106)府工建字第00256號"</f>
        <v>(106)府工建字第00256號</v>
      </c>
      <c r="D59" t="str">
        <f>"108/11/28"</f>
        <v>108/11/28</v>
      </c>
      <c r="E59" t="str">
        <f>"2019/11/12 上午 12:00:00"</f>
        <v>2019/11/12 上午 12:00:00</v>
      </c>
      <c r="F59" t="s">
        <v>6</v>
      </c>
    </row>
    <row r="60" spans="1:6" ht="16.5">
      <c r="A60" t="str">
        <f>"AA006079820"</f>
        <v>AA006079820</v>
      </c>
      <c r="B60" t="str">
        <f>"E1允強實業股份有限公司斗六二廠新建工程(二期)"</f>
        <v>E1允強實業股份有限公司斗六二廠新建工程(二期)</v>
      </c>
      <c r="C60" t="str">
        <f>"(106)(雲)營建字第00957號"</f>
        <v>(106)(雲)營建字第00957號</v>
      </c>
      <c r="D60" t="str">
        <f>"108/11/21"</f>
        <v>108/11/21</v>
      </c>
      <c r="E60" t="str">
        <f>"2019/11/19 上午 12:00:00"</f>
        <v>2019/11/19 上午 12:00:00</v>
      </c>
      <c r="F60" t="str">
        <f>"E1"</f>
        <v>E1</v>
      </c>
    </row>
    <row r="61" spans="1:6" ht="16.5">
      <c r="A61" t="str">
        <f>"AA006082216"</f>
        <v>AA006082216</v>
      </c>
      <c r="B61" t="str">
        <f>"黃婉華住宅新建工程"</f>
        <v>黃婉華住宅新建工程</v>
      </c>
      <c r="C61" t="str">
        <f>"(106)府工建字第00254號"</f>
        <v>(106)府工建字第00254號</v>
      </c>
      <c r="D61" t="str">
        <f>"108/11/04"</f>
        <v>108/11/04</v>
      </c>
      <c r="E61" t="str">
        <f>"2019/11/4 上午 12:00:00"</f>
        <v>2019/11/4 上午 12:00:00</v>
      </c>
      <c r="F61" t="s">
        <v>7</v>
      </c>
    </row>
    <row r="62" spans="1:6" ht="16.5">
      <c r="A62" t="str">
        <f>"AA006082499"</f>
        <v>AA006082499</v>
      </c>
      <c r="B62" t="str">
        <f>"B1舜欣昌開發有限公司 大溪區仁善段4戶住宅新建工程"</f>
        <v>B1舜欣昌開發有限公司 大溪區仁善段4戶住宅新建工程</v>
      </c>
      <c r="C62" t="str">
        <f>"(106)桃市都建執照字第會溪 01248 號"</f>
        <v>(106)桃市都建執照字第會溪 01248 號</v>
      </c>
      <c r="D62" t="str">
        <f>"108/11/14"</f>
        <v>108/11/14</v>
      </c>
      <c r="E62" t="str">
        <f>"2019/11/8 上午 12:00:00"</f>
        <v>2019/11/8 上午 12:00:00</v>
      </c>
      <c r="F62" t="str">
        <f>"B1"</f>
        <v>B1</v>
      </c>
    </row>
    <row r="63" spans="1:6" ht="16.5">
      <c r="A63" t="str">
        <f>"AA006082949"</f>
        <v>AA006082949</v>
      </c>
      <c r="B63" t="str">
        <f>"陳俐吟住宅新建工程"</f>
        <v>陳俐吟住宅新建工程</v>
      </c>
      <c r="C63" t="str">
        <f>"(106)高市工建築字第02416號"</f>
        <v>(106)高市工建築字第02416號</v>
      </c>
      <c r="D63" t="str">
        <f>"108/11/19"</f>
        <v>108/11/19</v>
      </c>
      <c r="E63" t="str">
        <f>"2019/11/18 上午 12:00:00"</f>
        <v>2019/11/18 上午 12:00:00</v>
      </c>
      <c r="F63" t="str">
        <f>"A1"</f>
        <v>A1</v>
      </c>
    </row>
    <row r="64" spans="1:6" ht="16.5">
      <c r="A64" t="str">
        <f>"AA006083006"</f>
        <v>AA006083006</v>
      </c>
      <c r="B64" t="str">
        <f>"磐起建設股份有限公司負責人:丘淑敏集合住宅新建工程"</f>
        <v>磐起建設股份有限公司負責人:丘淑敏集合住宅新建工程</v>
      </c>
      <c r="C64" t="str">
        <f>"(106)高市工建築字第01147-01號"</f>
        <v>(106)高市工建築字第01147-01號</v>
      </c>
      <c r="D64" t="str">
        <f>"108/11/09"</f>
        <v>108/11/09</v>
      </c>
      <c r="E64" t="str">
        <f>"2019/11/8 上午 12:00:00"</f>
        <v>2019/11/8 上午 12:00:00</v>
      </c>
      <c r="F64" t="s">
        <v>9</v>
      </c>
    </row>
    <row r="65" spans="1:6" ht="16.5">
      <c r="A65" t="str">
        <f>"AA006083041"</f>
        <v>AA006083041</v>
      </c>
      <c r="B65" t="str">
        <f>"A1x2 王志恆住宅新建工程 "</f>
        <v>A1x2 王志恆住宅新建工程 </v>
      </c>
      <c r="C65" t="str">
        <f>"(106)府建管(建)字第0376676-0376677號"</f>
        <v>(106)府建管(建)字第0376676-0376677號</v>
      </c>
      <c r="D65" t="str">
        <f>"108/11/24"</f>
        <v>108/11/24</v>
      </c>
      <c r="E65" t="str">
        <f>"2019/11/22 上午 12:00:00"</f>
        <v>2019/11/22 上午 12:00:00</v>
      </c>
      <c r="F65" t="str">
        <f>"A1"</f>
        <v>A1</v>
      </c>
    </row>
    <row r="66" spans="1:6" ht="16.5">
      <c r="A66" t="str">
        <f>"AA006083485"</f>
        <v>AA006083485</v>
      </c>
      <c r="B66" t="str">
        <f>"C1台舫企業  楊梅區草湳坡段廠房新建工程"</f>
        <v>C1台舫企業  楊梅區草湳坡段廠房新建工程</v>
      </c>
      <c r="C66" t="str">
        <f>"(106)桃市都建執照字第會楊 01262 號"</f>
        <v>(106)桃市都建執照字第會楊 01262 號</v>
      </c>
      <c r="D66" t="str">
        <f>"108/11/26"</f>
        <v>108/11/26</v>
      </c>
      <c r="E66" t="str">
        <f>"2019/11/15 上午 12:00:00"</f>
        <v>2019/11/15 上午 12:00:00</v>
      </c>
      <c r="F66" t="str">
        <f>"C1"</f>
        <v>C1</v>
      </c>
    </row>
    <row r="67" spans="1:6" ht="16.5">
      <c r="A67" t="str">
        <f>"AA006085190"</f>
        <v>AA006085190</v>
      </c>
      <c r="B67" t="str">
        <f>"C1 環鋒工業股份有限公司廠房新建工程"</f>
        <v>C1 環鋒工業股份有限公司廠房新建工程</v>
      </c>
      <c r="C67" t="str">
        <f>"(106)投府建管(造)字第00594號"</f>
        <v>(106)投府建管(造)字第00594號</v>
      </c>
      <c r="D67" t="str">
        <f>"108/11/19"</f>
        <v>108/11/19</v>
      </c>
      <c r="E67" t="str">
        <f>"2019/11/12 上午 12:00:00"</f>
        <v>2019/11/12 上午 12:00:00</v>
      </c>
      <c r="F67" t="str">
        <f>"C1"</f>
        <v>C1</v>
      </c>
    </row>
    <row r="68" spans="1:6" ht="16.5">
      <c r="A68" t="str">
        <f>"TP206085435"</f>
        <v>TP206085435</v>
      </c>
      <c r="B68" t="str">
        <f>"E1空軍防空飛彈指揮部J026新建工程設計委託技術服務"</f>
        <v>E1空軍防空飛彈指揮部J026新建工程設計委託技術服務</v>
      </c>
      <c r="C68" t="str">
        <f>"免建照-101年12月19日國備工營字第1010019723號令"</f>
        <v>免建照-101年12月19日國備工營字第1010019723號令</v>
      </c>
      <c r="D68" t="str">
        <f>"108/11/03"</f>
        <v>108/11/03</v>
      </c>
      <c r="E68" t="str">
        <f>"2019/11/1 上午 12:00:00"</f>
        <v>2019/11/1 上午 12:00:00</v>
      </c>
      <c r="F68" t="str">
        <f>"E1"</f>
        <v>E1</v>
      </c>
    </row>
    <row r="69" spans="1:6" ht="16.5">
      <c r="A69" t="str">
        <f>"AA006086348"</f>
        <v>AA006086348</v>
      </c>
      <c r="B69" t="str">
        <f>"桂冠開發建設股份有限公司等二戶住宅新建工程"</f>
        <v>桂冠開發建設股份有限公司等二戶住宅新建工程</v>
      </c>
      <c r="C69" t="str">
        <f>"(106)(8)(30)建管建字第00448~00449號"</f>
        <v>(106)(8)(30)建管建字第00448~00449號</v>
      </c>
      <c r="D69" t="str">
        <f>"108/11/06"</f>
        <v>108/11/06</v>
      </c>
      <c r="E69" t="str">
        <f>"2019/11/4 上午 12:00:00"</f>
        <v>2019/11/4 上午 12:00:00</v>
      </c>
      <c r="F69" t="str">
        <f>"A1"</f>
        <v>A1</v>
      </c>
    </row>
    <row r="70" spans="1:6" ht="16.5">
      <c r="A70" t="str">
        <f>"AA006086789"</f>
        <v>AA006086789</v>
      </c>
      <c r="B70" t="str">
        <f>"黃玉英住宅新建工程"</f>
        <v>黃玉英住宅新建工程</v>
      </c>
      <c r="C70" t="str">
        <f>"106高市工建築字第01838"</f>
        <v>106高市工建築字第01838</v>
      </c>
      <c r="D70" t="str">
        <f>"108/11/02"</f>
        <v>108/11/02</v>
      </c>
      <c r="E70" t="str">
        <f>"2019/11/2 上午 12:00:00"</f>
        <v>2019/11/2 上午 12:00:00</v>
      </c>
      <c r="F70" t="str">
        <f>"A1"</f>
        <v>A1</v>
      </c>
    </row>
    <row r="71" spans="1:6" ht="16.5">
      <c r="A71" t="str">
        <f>"AA006086863"</f>
        <v>AA006086863</v>
      </c>
      <c r="B71" t="str">
        <f>"欣聯建設台北市萬華區雙園段150地號玖層住宅新建工程"</f>
        <v>欣聯建設台北市萬華區雙園段150地號玖層住宅新建工程</v>
      </c>
      <c r="C71" t="str">
        <f>"106建字第0086號"</f>
        <v>106建字第0086號</v>
      </c>
      <c r="D71" t="str">
        <f>"108/11/20"</f>
        <v>108/11/20</v>
      </c>
      <c r="E71" t="str">
        <f>"2019/11/11 上午 12:00:00"</f>
        <v>2019/11/11 上午 12:00:00</v>
      </c>
      <c r="F71" t="s">
        <v>6</v>
      </c>
    </row>
    <row r="72" spans="1:6" ht="16.5">
      <c r="A72" t="str">
        <f>"AA006086949"</f>
        <v>AA006086949</v>
      </c>
      <c r="B72" t="str">
        <f>"A1 曹秀娟住宅新建工程"</f>
        <v>A1 曹秀娟住宅新建工程</v>
      </c>
      <c r="C72" t="str">
        <f>"106中都建字第2462號"</f>
        <v>106中都建字第2462號</v>
      </c>
      <c r="D72" t="str">
        <f>"108/11/25"</f>
        <v>108/11/25</v>
      </c>
      <c r="E72" t="str">
        <f>"2019/11/22 上午 12:00:00"</f>
        <v>2019/11/22 上午 12:00:00</v>
      </c>
      <c r="F72" t="str">
        <f>"A1"</f>
        <v>A1</v>
      </c>
    </row>
    <row r="73" spans="1:6" ht="16.5">
      <c r="A73" t="str">
        <f>"AA006087262"</f>
        <v>AA006087262</v>
      </c>
      <c r="B73" t="str">
        <f>"A1 洪志俊二戶住宅新建工程"</f>
        <v>A1 洪志俊二戶住宅新建工程</v>
      </c>
      <c r="C73" t="str">
        <f>"106中都建字第02377號"</f>
        <v>106中都建字第02377號</v>
      </c>
      <c r="D73" t="str">
        <f>"108/11/27"</f>
        <v>108/11/27</v>
      </c>
      <c r="E73" t="str">
        <f>"2019/11/25 上午 12:00:00"</f>
        <v>2019/11/25 上午 12:00:00</v>
      </c>
      <c r="F73" t="str">
        <f>"A1"</f>
        <v>A1</v>
      </c>
    </row>
    <row r="74" spans="1:6" ht="16.5">
      <c r="A74" t="str">
        <f>"AA006088438"</f>
        <v>AA006088438</v>
      </c>
      <c r="B74" t="str">
        <f>"肆層廠房新建工程"</f>
        <v>肆層廠房新建工程</v>
      </c>
      <c r="C74" t="str">
        <f>"(106)桃市都建執照字第會蘆00657號"</f>
        <v>(106)桃市都建執照字第會蘆00657號</v>
      </c>
      <c r="D74" t="str">
        <f>"108/11/20"</f>
        <v>108/11/20</v>
      </c>
      <c r="E74" t="str">
        <f>"2019/11/20 上午 12:00:00"</f>
        <v>2019/11/20 上午 12:00:00</v>
      </c>
      <c r="F74" t="s">
        <v>6</v>
      </c>
    </row>
    <row r="75" spans="1:6" ht="16.5">
      <c r="A75" t="str">
        <f>"AA006088910"</f>
        <v>AA006088910</v>
      </c>
      <c r="B75" t="str">
        <f>"桂冠開發建設股份有限公司住宅興建工程"</f>
        <v>桂冠開發建設股份有限公司住宅興建工程</v>
      </c>
      <c r="C75" t="str">
        <f>"(106)(11)(28)建管建字第00682號"</f>
        <v>(106)(11)(28)建管建字第00682號</v>
      </c>
      <c r="D75" t="str">
        <f>"108/11/06"</f>
        <v>108/11/06</v>
      </c>
      <c r="E75" t="str">
        <f>"2019/11/4 上午 12:00:00"</f>
        <v>2019/11/4 上午 12:00:00</v>
      </c>
      <c r="F75" t="str">
        <f>"A1"</f>
        <v>A1</v>
      </c>
    </row>
    <row r="76" spans="1:6" ht="16.5">
      <c r="A76" t="str">
        <f>"AA006090126"</f>
        <v>AA006090126</v>
      </c>
      <c r="B76" t="s">
        <v>16</v>
      </c>
      <c r="C76" t="str">
        <f>"106中都建字第00735號"</f>
        <v>106中都建字第00735號</v>
      </c>
      <c r="D76" t="str">
        <f>"108/11/11"</f>
        <v>108/11/11</v>
      </c>
      <c r="E76" t="str">
        <f>"2019/11/11 上午 12:00:00"</f>
        <v>2019/11/11 上午 12:00:00</v>
      </c>
      <c r="F76" t="s">
        <v>6</v>
      </c>
    </row>
    <row r="77" spans="1:6" ht="16.5">
      <c r="A77" t="str">
        <f>"AA006091054"</f>
        <v>AA006091054</v>
      </c>
      <c r="B77" t="str">
        <f>"游瑞林新建住宅工程"</f>
        <v>游瑞林新建住宅工程</v>
      </c>
      <c r="C77" t="str">
        <f>"106.11.28建管建字第00683號"</f>
        <v>106.11.28建管建字第00683號</v>
      </c>
      <c r="D77" t="str">
        <f>"108/11/25"</f>
        <v>108/11/25</v>
      </c>
      <c r="E77" t="str">
        <f>"2019/11/13 上午 12:00:00"</f>
        <v>2019/11/13 上午 12:00:00</v>
      </c>
      <c r="F77" t="str">
        <f>"A1"</f>
        <v>A1</v>
      </c>
    </row>
    <row r="78" spans="1:6" ht="16.5">
      <c r="A78" t="str">
        <f>"AA006091208"</f>
        <v>AA006091208</v>
      </c>
      <c r="B78" t="str">
        <f>"佳鏵建設新竹市金雅段1地號集合住宅新建工程"</f>
        <v>佳鏵建設新竹市金雅段1地號集合住宅新建工程</v>
      </c>
      <c r="C78" t="str">
        <f>"（106）府工建字第00263號"</f>
        <v>（106）府工建字第00263號</v>
      </c>
      <c r="D78" t="str">
        <f>"108/11/21"</f>
        <v>108/11/21</v>
      </c>
      <c r="E78" t="str">
        <f>"2019/11/20 上午 12:00:00"</f>
        <v>2019/11/20 上午 12:00:00</v>
      </c>
      <c r="F78" t="s">
        <v>6</v>
      </c>
    </row>
    <row r="79" spans="1:6" ht="16.5">
      <c r="A79" t="str">
        <f>"AA006092395"</f>
        <v>AA006092395</v>
      </c>
      <c r="B79" t="str">
        <f>"A1x5 特家麗建設有限公司住宅新建工程"</f>
        <v>A1x5 特家麗建設有限公司住宅新建工程</v>
      </c>
      <c r="C79" t="str">
        <f>"(106)府建管(建)字第0389203-0389204，0389206-0389208號"</f>
        <v>(106)府建管(建)字第0389203-0389204，0389206-0389208號</v>
      </c>
      <c r="D79" t="str">
        <f>"108/11/30"</f>
        <v>108/11/30</v>
      </c>
      <c r="E79" t="str">
        <f>"2019/11/26 上午 12:00:00"</f>
        <v>2019/11/26 上午 12:00:00</v>
      </c>
      <c r="F79" t="str">
        <f>"A1"</f>
        <v>A1</v>
      </c>
    </row>
    <row r="80" spans="1:6" ht="16.5">
      <c r="A80" t="str">
        <f>"AA006092910"</f>
        <v>AA006092910</v>
      </c>
      <c r="B80" t="str">
        <f>"A1 何惠中住宅新建工程"</f>
        <v>A1 何惠中住宅新建工程</v>
      </c>
      <c r="C80" t="str">
        <f>"106中都建字第02512號"</f>
        <v>106中都建字第02512號</v>
      </c>
      <c r="D80" t="str">
        <f>"108/11/11"</f>
        <v>108/11/11</v>
      </c>
      <c r="E80" t="str">
        <f>"2019/11/11 上午 12:00:00"</f>
        <v>2019/11/11 上午 12:00:00</v>
      </c>
      <c r="F80" t="str">
        <f>"A1"</f>
        <v>A1</v>
      </c>
    </row>
    <row r="81" spans="1:6" ht="16.5">
      <c r="A81" t="str">
        <f>"AA006093028"</f>
        <v>AA006093028</v>
      </c>
      <c r="B81" t="str">
        <f>"B1 廖柏泉店鋪新建工程"</f>
        <v>B1 廖柏泉店鋪新建工程</v>
      </c>
      <c r="C81" t="str">
        <f>"106中都建字第02506號"</f>
        <v>106中都建字第02506號</v>
      </c>
      <c r="D81" t="str">
        <f>"108/11/06"</f>
        <v>108/11/06</v>
      </c>
      <c r="E81" t="str">
        <f>"2019/11/1 上午 12:00:00"</f>
        <v>2019/11/1 上午 12:00:00</v>
      </c>
      <c r="F81" t="str">
        <f>"B1"</f>
        <v>B1</v>
      </c>
    </row>
    <row r="82" spans="1:6" ht="16.5">
      <c r="A82" t="str">
        <f>"AA006093090"</f>
        <v>AA006093090</v>
      </c>
      <c r="B82" t="str">
        <f>"A1x4 健峰營造有限公司四戶住宅新建工程(A)"</f>
        <v>A1x4 健峰營造有限公司四戶住宅新建工程(A)</v>
      </c>
      <c r="C82" t="str">
        <f>"(106)府建管(建)字 第0407022~0407025號"</f>
        <v>(106)府建管(建)字 第0407022~0407025號</v>
      </c>
      <c r="D82" t="str">
        <f>"108/11/20"</f>
        <v>108/11/20</v>
      </c>
      <c r="E82" t="str">
        <f>"2019/11/20 上午 12:00:00"</f>
        <v>2019/11/20 上午 12:00:00</v>
      </c>
      <c r="F82" t="str">
        <f>"A1"</f>
        <v>A1</v>
      </c>
    </row>
    <row r="83" spans="1:6" ht="16.5">
      <c r="A83" t="str">
        <f>"AA006093103"</f>
        <v>AA006093103</v>
      </c>
      <c r="B83" t="str">
        <f>"A1x4 健峰營造有限公司四戶住宅新建工程(Ｂ)"</f>
        <v>A1x4 健峰營造有限公司四戶住宅新建工程(Ｂ)</v>
      </c>
      <c r="C83" t="str">
        <f>"(106)府建管(建)字第0407015~0407018號"</f>
        <v>(106)府建管(建)字第0407015~0407018號</v>
      </c>
      <c r="D83" t="str">
        <f>"108/11/20"</f>
        <v>108/11/20</v>
      </c>
      <c r="E83" t="str">
        <f>"2019/11/20 上午 12:00:00"</f>
        <v>2019/11/20 上午 12:00:00</v>
      </c>
      <c r="F83" t="str">
        <f>"A1"</f>
        <v>A1</v>
      </c>
    </row>
    <row r="84" spans="1:6" ht="16.5">
      <c r="A84" t="str">
        <f>"AA006094126"</f>
        <v>AA006094126</v>
      </c>
      <c r="B84" t="str">
        <f>"A1張金漢 中壢區雙嶺段住宅新建工程"</f>
        <v>A1張金漢 中壢區雙嶺段住宅新建工程</v>
      </c>
      <c r="C84" t="str">
        <f>"(106)桃市都建執照字第會壢 01319 號"</f>
        <v>(106)桃市都建執照字第會壢 01319 號</v>
      </c>
      <c r="D84" t="str">
        <f>"108/11/12"</f>
        <v>108/11/12</v>
      </c>
      <c r="E84" t="str">
        <f>"2019/11/12 上午 12:00:00"</f>
        <v>2019/11/12 上午 12:00:00</v>
      </c>
      <c r="F84" t="str">
        <f>"A1"</f>
        <v>A1</v>
      </c>
    </row>
    <row r="85" spans="1:6" ht="16.5">
      <c r="A85" t="str">
        <f>"AA006094360"</f>
        <v>AA006094360</v>
      </c>
      <c r="B85" t="str">
        <f>"王其德集合住宅新建工程"</f>
        <v>王其德集合住宅新建工程</v>
      </c>
      <c r="C85" t="str">
        <f>"(106)府工建字第00275號"</f>
        <v>(106)府工建字第00275號</v>
      </c>
      <c r="D85" t="str">
        <f>"108/11/17"</f>
        <v>108/11/17</v>
      </c>
      <c r="E85" t="str">
        <f>"2019/11/12 上午 12:00:00"</f>
        <v>2019/11/12 上午 12:00:00</v>
      </c>
      <c r="F85" t="s">
        <v>7</v>
      </c>
    </row>
    <row r="86" spans="1:6" ht="16.5">
      <c r="A86" t="str">
        <f>"AA006095338"</f>
        <v>AA006095338</v>
      </c>
      <c r="B86" t="str">
        <f>"B1 黃義君餐廳.住宅新建工程"</f>
        <v>B1 黃義君餐廳.住宅新建工程</v>
      </c>
      <c r="C86" t="str">
        <f>"106中都建字第02550號"</f>
        <v>106中都建字第02550號</v>
      </c>
      <c r="D86" t="str">
        <f>"108/11/05"</f>
        <v>108/11/05</v>
      </c>
      <c r="E86" t="str">
        <f>"2019/11/4 上午 12:00:00"</f>
        <v>2019/11/4 上午 12:00:00</v>
      </c>
      <c r="F86" t="str">
        <f>"B1"</f>
        <v>B1</v>
      </c>
    </row>
    <row r="87" spans="1:6" ht="16.5">
      <c r="A87" t="str">
        <f>"AA006095640"</f>
        <v>AA006095640</v>
      </c>
      <c r="B87" t="str">
        <f>"B1x2宏邦開發建設有限公司十五戶住宅新建工程"</f>
        <v>B1x2宏邦開發建設有限公司十五戶住宅新建工程</v>
      </c>
      <c r="C87" t="str">
        <f>"(106)福鄉建字第0016680-0016681號"</f>
        <v>(106)福鄉建字第0016680-0016681號</v>
      </c>
      <c r="D87" t="str">
        <f>"108/11/20"</f>
        <v>108/11/20</v>
      </c>
      <c r="E87" t="str">
        <f>"2019/11/20 上午 12:00:00"</f>
        <v>2019/11/20 上午 12:00:00</v>
      </c>
      <c r="F87" t="str">
        <f>"B1"</f>
        <v>B1</v>
      </c>
    </row>
    <row r="88" spans="1:6" ht="16.5">
      <c r="A88" t="str">
        <f>"AA006096338"</f>
        <v>AA006096338</v>
      </c>
      <c r="B88" t="str">
        <f>"A1張坤旺住宅新建工程"</f>
        <v>A1張坤旺住宅新建工程</v>
      </c>
      <c r="C88" t="str">
        <f>"106中都建字第2560號"</f>
        <v>106中都建字第2560號</v>
      </c>
      <c r="D88" t="str">
        <f>"108/11/26"</f>
        <v>108/11/26</v>
      </c>
      <c r="E88" t="str">
        <f>"2019/11/26 上午 12:00:00"</f>
        <v>2019/11/26 上午 12:00:00</v>
      </c>
      <c r="F88" t="str">
        <f aca="true" t="shared" si="2" ref="F88:F93">"A1"</f>
        <v>A1</v>
      </c>
    </row>
    <row r="89" spans="1:6" ht="16.5">
      <c r="A89" t="str">
        <f>"AA006096562"</f>
        <v>AA006096562</v>
      </c>
      <c r="B89" t="str">
        <f>"A1x6 龍邸建設股份有限公司6戶住宅新建工程"</f>
        <v>A1x6 龍邸建設股份有限公司6戶住宅新建工程</v>
      </c>
      <c r="C89" t="str">
        <f>"(106)府建管(建)字第04031140~04031142、04031144~04031146號"</f>
        <v>(106)府建管(建)字第04031140~04031142、04031144~04031146號</v>
      </c>
      <c r="D89" t="str">
        <f>"108/11/02"</f>
        <v>108/11/02</v>
      </c>
      <c r="E89" t="str">
        <f>"2019/11/1 上午 12:00:00"</f>
        <v>2019/11/1 上午 12:00:00</v>
      </c>
      <c r="F89" t="str">
        <f t="shared" si="2"/>
        <v>A1</v>
      </c>
    </row>
    <row r="90" spans="1:6" ht="16.5">
      <c r="A90" t="str">
        <f>"AA006098428"</f>
        <v>AA006098428</v>
      </c>
      <c r="B90" t="str">
        <f>"A1 謝石義農舍新建工程"</f>
        <v>A1 謝石義農舍新建工程</v>
      </c>
      <c r="C90" t="str">
        <f>"(106)芳鄉建字第0017787號變更(107)芳鄉建字第0005639號"</f>
        <v>(106)芳鄉建字第0017787號變更(107)芳鄉建字第0005639號</v>
      </c>
      <c r="D90" t="str">
        <f>"108/11/12"</f>
        <v>108/11/12</v>
      </c>
      <c r="E90" t="str">
        <f>"2019/11/12 上午 12:00:00"</f>
        <v>2019/11/12 上午 12:00:00</v>
      </c>
      <c r="F90" t="str">
        <f t="shared" si="2"/>
        <v>A1</v>
      </c>
    </row>
    <row r="91" spans="1:6" ht="16.5">
      <c r="A91" t="str">
        <f>"AA006098589"</f>
        <v>AA006098589</v>
      </c>
      <c r="B91" t="str">
        <f>"A1 洪麗鳳住宅新建工程"</f>
        <v>A1 洪麗鳳住宅新建工程</v>
      </c>
      <c r="C91" t="str">
        <f>"(106)府建管(建)字第0419500號"</f>
        <v>(106)府建管(建)字第0419500號</v>
      </c>
      <c r="D91" t="str">
        <f>"108/11/30"</f>
        <v>108/11/30</v>
      </c>
      <c r="E91" t="str">
        <f>"2019/11/29 上午 12:00:00"</f>
        <v>2019/11/29 上午 12:00:00</v>
      </c>
      <c r="F91" t="str">
        <f t="shared" si="2"/>
        <v>A1</v>
      </c>
    </row>
    <row r="92" spans="1:6" ht="16.5">
      <c r="A92" t="str">
        <f>"AA006098720"</f>
        <v>AA006098720</v>
      </c>
      <c r="B92" t="str">
        <f>"A1姜博薰 中壢區雙嶺段住宅新建工程"</f>
        <v>A1姜博薰 中壢區雙嶺段住宅新建工程</v>
      </c>
      <c r="C92" t="str">
        <f>"(106)桃市都建執照字第會壢 01339 號"</f>
        <v>(106)桃市都建執照字第會壢 01339 號</v>
      </c>
      <c r="D92" t="str">
        <f>"108/11/12"</f>
        <v>108/11/12</v>
      </c>
      <c r="E92" t="str">
        <f>"2019/11/12 上午 12:00:00"</f>
        <v>2019/11/12 上午 12:00:00</v>
      </c>
      <c r="F92" t="str">
        <f t="shared" si="2"/>
        <v>A1</v>
      </c>
    </row>
    <row r="93" spans="1:6" ht="16.5">
      <c r="A93" t="str">
        <f>"AA006099348"</f>
        <v>AA006099348</v>
      </c>
      <c r="B93" t="str">
        <f>"A1x2 石俊隆等二人住宅新建工程"</f>
        <v>A1x2 石俊隆等二人住宅新建工程</v>
      </c>
      <c r="C93" t="s">
        <v>17</v>
      </c>
      <c r="D93" t="str">
        <f>"108/11/28"</f>
        <v>108/11/28</v>
      </c>
      <c r="E93" t="str">
        <f>"2019/11/27 上午 12:00:00"</f>
        <v>2019/11/27 上午 12:00:00</v>
      </c>
      <c r="F93" t="str">
        <f t="shared" si="2"/>
        <v>A1</v>
      </c>
    </row>
    <row r="94" spans="1:6" ht="16.5">
      <c r="A94" t="str">
        <f>"AA006100518"</f>
        <v>AA006100518</v>
      </c>
      <c r="B94" t="s">
        <v>18</v>
      </c>
      <c r="C94" t="str">
        <f>"(106)府建管(建)字第0423611~0423615號"</f>
        <v>(106)府建管(建)字第0423611~0423615號</v>
      </c>
      <c r="D94" t="str">
        <f>"108/11/11"</f>
        <v>108/11/11</v>
      </c>
      <c r="E94" t="str">
        <f>"2019/11/11 上午 12:00:00"</f>
        <v>2019/11/11 上午 12:00:00</v>
      </c>
      <c r="F94" t="s">
        <v>12</v>
      </c>
    </row>
    <row r="95" spans="1:6" ht="16.5">
      <c r="A95" t="str">
        <f>"AA006101879"</f>
        <v>AA006101879</v>
      </c>
      <c r="B95" t="str">
        <f>"黃太平新建工程"</f>
        <v>黃太平新建工程</v>
      </c>
      <c r="C95" t="str">
        <f>"(106)桃市都建執照字第會蘆01314號"</f>
        <v>(106)桃市都建執照字第會蘆01314號</v>
      </c>
      <c r="D95" t="str">
        <f>"108/11/12"</f>
        <v>108/11/12</v>
      </c>
      <c r="E95" t="str">
        <f>"2019/11/12 上午 12:00:00"</f>
        <v>2019/11/12 上午 12:00:00</v>
      </c>
      <c r="F95" t="str">
        <f>"A1"</f>
        <v>A1</v>
      </c>
    </row>
    <row r="96" spans="1:6" ht="16.5">
      <c r="A96" t="str">
        <f>"AA006104190"</f>
        <v>AA006104190</v>
      </c>
      <c r="B96" t="str">
        <f>"天竹建設店舖、集合住宅新建工程"</f>
        <v>天竹建設店舖、集合住宅新建工程</v>
      </c>
      <c r="C96" t="str">
        <f>"(106)府工建字第00208號"</f>
        <v>(106)府工建字第00208號</v>
      </c>
      <c r="D96" t="str">
        <f>"108/11/28"</f>
        <v>108/11/28</v>
      </c>
      <c r="E96" t="str">
        <f>"2019/11/26 上午 12:00:00"</f>
        <v>2019/11/26 上午 12:00:00</v>
      </c>
      <c r="F96" t="s">
        <v>6</v>
      </c>
    </row>
    <row r="97" spans="1:6" ht="16.5">
      <c r="A97" t="str">
        <f>"AA006104208"</f>
        <v>AA006104208</v>
      </c>
      <c r="B97" t="str">
        <f>"陳啟東住宅新建工程"</f>
        <v>陳啟東住宅新建工程</v>
      </c>
      <c r="C97" t="str">
        <f>"(106)南工造字第04889號"</f>
        <v>(106)南工造字第04889號</v>
      </c>
      <c r="D97" t="str">
        <f>"108/11/24"</f>
        <v>108/11/24</v>
      </c>
      <c r="E97" t="str">
        <f>"2019/11/20 上午 12:00:00"</f>
        <v>2019/11/20 上午 12:00:00</v>
      </c>
      <c r="F97" t="str">
        <f>"A1"</f>
        <v>A1</v>
      </c>
    </row>
    <row r="98" spans="1:6" ht="16.5">
      <c r="A98" t="str">
        <f>"AA007000428"</f>
        <v>AA007000428</v>
      </c>
      <c r="B98" t="str">
        <f>"北投區泉源段三小段307地號住宅新建工程"</f>
        <v>北投區泉源段三小段307地號住宅新建工程</v>
      </c>
      <c r="C98" t="str">
        <f>"105建字第0093號"</f>
        <v>105建字第0093號</v>
      </c>
      <c r="D98" t="str">
        <f>"108/11/14"</f>
        <v>108/11/14</v>
      </c>
      <c r="E98" t="str">
        <f>"2019/11/11 上午 12:00:00"</f>
        <v>2019/11/11 上午 12:00:00</v>
      </c>
      <c r="F98" t="str">
        <f>"A1"</f>
        <v>A1</v>
      </c>
    </row>
    <row r="99" spans="1:6" ht="16.5">
      <c r="A99" t="str">
        <f>"AA007001891"</f>
        <v>AA007001891</v>
      </c>
      <c r="B99" t="str">
        <f>"B1 鋐遠建設有限公司住宅新健工程"</f>
        <v>B1 鋐遠建設有限公司住宅新健工程</v>
      </c>
      <c r="C99" t="str">
        <f>"106中都建字第02575號"</f>
        <v>106中都建字第02575號</v>
      </c>
      <c r="D99" t="str">
        <f>"108/11/25"</f>
        <v>108/11/25</v>
      </c>
      <c r="E99" t="str">
        <f>"2019/11/14 上午 12:00:00"</f>
        <v>2019/11/14 上午 12:00:00</v>
      </c>
      <c r="F99" t="str">
        <f>"B1"</f>
        <v>B1</v>
      </c>
    </row>
    <row r="100" spans="1:6" ht="16.5">
      <c r="A100" t="str">
        <f>"AA007001949"</f>
        <v>AA007001949</v>
      </c>
      <c r="B100" t="str">
        <f>"B1x2鈺程建設開發有限公司十二戶住宅新建工程"</f>
        <v>B1x2鈺程建設開發有限公司十二戶住宅新建工程</v>
      </c>
      <c r="C100" t="str">
        <f>"(106)員市建字第0043472-0043473地號"</f>
        <v>(106)員市建字第0043472-0043473地號</v>
      </c>
      <c r="D100" t="str">
        <f>"108/11/11"</f>
        <v>108/11/11</v>
      </c>
      <c r="E100" t="str">
        <f>"2019/11/11 上午 12:00:00"</f>
        <v>2019/11/11 上午 12:00:00</v>
      </c>
      <c r="F100" t="str">
        <f>"B1"</f>
        <v>B1</v>
      </c>
    </row>
    <row r="101" spans="1:6" ht="16.5">
      <c r="A101" t="str">
        <f>"AA007003248"</f>
        <v>AA007003248</v>
      </c>
      <c r="B101" t="str">
        <f>"新北市三重區德新段集合住宅新建水電工程"</f>
        <v>新北市三重區德新段集合住宅新建水電工程</v>
      </c>
      <c r="C101" t="str">
        <f>"105重建字第00049號"</f>
        <v>105重建字第00049號</v>
      </c>
      <c r="D101" t="str">
        <f>"108/11/04"</f>
        <v>108/11/04</v>
      </c>
      <c r="E101" t="str">
        <f>"2019/9/27 上午 12:00:00"</f>
        <v>2019/9/27 上午 12:00:00</v>
      </c>
      <c r="F101" t="s">
        <v>19</v>
      </c>
    </row>
    <row r="102" spans="1:6" ht="16.5">
      <c r="A102" t="str">
        <f>"AA007004158"</f>
        <v>AA007004158</v>
      </c>
      <c r="B102" t="str">
        <f>"A1x2 蔡豫學等二人住宅新建工程"</f>
        <v>A1x2 蔡豫學等二人住宅新建工程</v>
      </c>
      <c r="C102" t="str">
        <f>"106中都建字第2170.2171號"</f>
        <v>106中都建字第2170.2171號</v>
      </c>
      <c r="D102" t="str">
        <f>"108/11/05"</f>
        <v>108/11/05</v>
      </c>
      <c r="E102" t="str">
        <f>"2019/11/4 上午 12:00:00"</f>
        <v>2019/11/4 上午 12:00:00</v>
      </c>
      <c r="F102" t="str">
        <f>"A1"</f>
        <v>A1</v>
      </c>
    </row>
    <row r="103" spans="1:6" ht="16.5">
      <c r="A103" t="str">
        <f>"AA007005168"</f>
        <v>AA007005168</v>
      </c>
      <c r="B103" t="str">
        <f>"朱冠臻國宅73-5住宅新建工程"</f>
        <v>朱冠臻國宅73-5住宅新建工程</v>
      </c>
      <c r="C103" t="str">
        <f>"106林建字第00445號"</f>
        <v>106林建字第00445號</v>
      </c>
      <c r="D103" t="str">
        <f>"108/11/20"</f>
        <v>108/11/20</v>
      </c>
      <c r="E103" t="str">
        <f>"2019/10/29 上午 12:00:00"</f>
        <v>2019/10/29 上午 12:00:00</v>
      </c>
      <c r="F103" t="s">
        <v>7</v>
      </c>
    </row>
    <row r="104" spans="1:6" ht="16.5">
      <c r="A104" t="str">
        <f>"AA007005428"</f>
        <v>AA007005428</v>
      </c>
      <c r="B104" t="str">
        <f>"C1 辰豐實業有限公司廠房新建工程"</f>
        <v>C1 辰豐實業有限公司廠房新建工程</v>
      </c>
      <c r="C104" t="str">
        <f>"106中都建字第02587號"</f>
        <v>106中都建字第02587號</v>
      </c>
      <c r="D104" t="str">
        <f>"108/11/26"</f>
        <v>108/11/26</v>
      </c>
      <c r="E104" t="str">
        <f>"2019/11/8 上午 12:00:00"</f>
        <v>2019/11/8 上午 12:00:00</v>
      </c>
      <c r="F104" t="str">
        <f>"C1"</f>
        <v>C1</v>
      </c>
    </row>
    <row r="105" spans="1:6" ht="16.5">
      <c r="A105" t="str">
        <f>"AA007005504"</f>
        <v>AA007005504</v>
      </c>
      <c r="B105" t="str">
        <f>"王喨儀    (3F×1戶)住宅新建工程"</f>
        <v>王喨儀    (3F×1戶)住宅新建工程</v>
      </c>
      <c r="C105" t="str">
        <f>"(106)南工造字第04879號"</f>
        <v>(106)南工造字第04879號</v>
      </c>
      <c r="D105" t="str">
        <f>"108/11/19"</f>
        <v>108/11/19</v>
      </c>
      <c r="E105" t="str">
        <f>"2019/11/19 上午 12:00:00"</f>
        <v>2019/11/19 上午 12:00:00</v>
      </c>
      <c r="F105" t="str">
        <f>"A1"</f>
        <v>A1</v>
      </c>
    </row>
    <row r="106" spans="1:6" ht="16.5">
      <c r="A106" t="str">
        <f>"AA007006216"</f>
        <v>AA007006216</v>
      </c>
      <c r="B106" t="str">
        <f>"B1 橙采生物科技有限公司廠房新建工程"</f>
        <v>B1 橙采生物科技有限公司廠房新建工程</v>
      </c>
      <c r="C106" t="str">
        <f>"(106)桃市都建執照字第會溪01317號"</f>
        <v>(106)桃市都建執照字第會溪01317號</v>
      </c>
      <c r="D106" t="str">
        <f>"108/11/17"</f>
        <v>108/11/17</v>
      </c>
      <c r="E106" t="str">
        <f>"2019/11/15 上午 12:00:00"</f>
        <v>2019/11/15 上午 12:00:00</v>
      </c>
      <c r="F106" t="s">
        <v>9</v>
      </c>
    </row>
    <row r="107" spans="1:6" ht="16.5">
      <c r="A107" t="str">
        <f>"AA007006699"</f>
        <v>AA007006699</v>
      </c>
      <c r="B107" t="str">
        <f>"徐培鈺住宅新建工程"</f>
        <v>徐培鈺住宅新建工程</v>
      </c>
      <c r="C107" t="str">
        <f>"(106)府建字第00709號"</f>
        <v>(106)府建字第00709號</v>
      </c>
      <c r="D107" t="str">
        <f>"108/11/28"</f>
        <v>108/11/28</v>
      </c>
      <c r="E107" t="str">
        <f>"2019/11/18 上午 12:00:00"</f>
        <v>2019/11/18 上午 12:00:00</v>
      </c>
      <c r="F107" t="s">
        <v>7</v>
      </c>
    </row>
    <row r="108" spans="1:6" ht="16.5">
      <c r="A108" t="str">
        <f>"AA007006708"</f>
        <v>AA007006708</v>
      </c>
      <c r="B108" t="str">
        <f>"徐培鈺住宅新建工程"</f>
        <v>徐培鈺住宅新建工程</v>
      </c>
      <c r="C108" t="str">
        <f>"(106)府建字第00710號"</f>
        <v>(106)府建字第00710號</v>
      </c>
      <c r="D108" t="str">
        <f>"108/11/28"</f>
        <v>108/11/28</v>
      </c>
      <c r="E108" t="str">
        <f>"2019/11/18 上午 12:00:00"</f>
        <v>2019/11/18 上午 12:00:00</v>
      </c>
      <c r="F108" t="s">
        <v>7</v>
      </c>
    </row>
    <row r="109" spans="1:6" ht="16.5">
      <c r="A109" t="str">
        <f>"AA007007755"</f>
        <v>AA007007755</v>
      </c>
      <c r="B109" t="str">
        <f>"C1銓邑建設(股)公司住宅新建工程"</f>
        <v>C1銓邑建設(股)公司住宅新建工程</v>
      </c>
      <c r="C109" t="str">
        <f>"106中都建字第1795號"</f>
        <v>106中都建字第1795號</v>
      </c>
      <c r="D109" t="str">
        <f>"108/11/23"</f>
        <v>108/11/23</v>
      </c>
      <c r="E109" t="str">
        <f>"2019/11/22 上午 12:00:00"</f>
        <v>2019/11/22 上午 12:00:00</v>
      </c>
      <c r="F109" t="s">
        <v>6</v>
      </c>
    </row>
    <row r="110" spans="1:6" ht="16.5">
      <c r="A110" t="str">
        <f>"AA007007969"</f>
        <v>AA007007969</v>
      </c>
      <c r="B110" t="str">
        <f>"宜蘭縣頭城鎮烏石港段2戶住宅新建工程"</f>
        <v>宜蘭縣頭城鎮烏石港段2戶住宅新建工程</v>
      </c>
      <c r="C110" t="str">
        <f>"106.12.26建管建字第00755~00756號"</f>
        <v>106.12.26建管建字第00755~00756號</v>
      </c>
      <c r="D110" t="str">
        <f>"108/11/25"</f>
        <v>108/11/25</v>
      </c>
      <c r="E110" t="str">
        <f>"2019/11/25 上午 12:00:00"</f>
        <v>2019/11/25 上午 12:00:00</v>
      </c>
      <c r="F110" t="str">
        <f>"A1"</f>
        <v>A1</v>
      </c>
    </row>
    <row r="111" spans="1:6" ht="16.5">
      <c r="A111" t="str">
        <f>"AA007010550"</f>
        <v>AA007010550</v>
      </c>
      <c r="B111" t="str">
        <f>"A1-廖秀琴等二人住宅新建工程"</f>
        <v>A1-廖秀琴等二人住宅新建工程</v>
      </c>
      <c r="C111" t="str">
        <f>"106雲營建字第386號"</f>
        <v>106雲營建字第386號</v>
      </c>
      <c r="D111" t="str">
        <f>"108/11/13"</f>
        <v>108/11/13</v>
      </c>
      <c r="E111" t="str">
        <f>"2019/11/13 上午 12:00:00"</f>
        <v>2019/11/13 上午 12:00:00</v>
      </c>
      <c r="F111" t="str">
        <f>"A1"</f>
        <v>A1</v>
      </c>
    </row>
    <row r="112" spans="1:6" ht="16.5">
      <c r="A112" t="str">
        <f>"AA007010683"</f>
        <v>AA007010683</v>
      </c>
      <c r="B112" t="str">
        <f>"飛快隔間設計有限公司廠房水電新建工程"</f>
        <v>飛快隔間設計有限公司廠房水電新建工程</v>
      </c>
      <c r="C112" t="str">
        <f>"(107)高市工建築字第00002號"</f>
        <v>(107)高市工建築字第00002號</v>
      </c>
      <c r="D112" t="str">
        <f>"108/11/19"</f>
        <v>108/11/19</v>
      </c>
      <c r="E112" t="str">
        <f>"2019/11/19 上午 12:00:00"</f>
        <v>2019/11/19 上午 12:00:00</v>
      </c>
      <c r="F112" t="str">
        <f>"C1"</f>
        <v>C1</v>
      </c>
    </row>
    <row r="113" spans="1:6" ht="16.5">
      <c r="A113" t="str">
        <f>"AA007010879"</f>
        <v>AA007010879</v>
      </c>
      <c r="B113" t="s">
        <v>20</v>
      </c>
      <c r="C113" t="str">
        <f>"(106)府建管(建)字第0459468~0459469、04597471~0459473號"</f>
        <v>(106)府建管(建)字第0459468~0459469、04597471~0459473號</v>
      </c>
      <c r="D113" t="str">
        <f>"108/11/25"</f>
        <v>108/11/25</v>
      </c>
      <c r="E113" t="str">
        <f>"2019/11/22 上午 12:00:00"</f>
        <v>2019/11/22 上午 12:00:00</v>
      </c>
      <c r="F113" t="s">
        <v>21</v>
      </c>
    </row>
    <row r="114" spans="1:6" ht="16.5">
      <c r="A114" t="str">
        <f>"AA007011103"</f>
        <v>AA007011103</v>
      </c>
      <c r="B114" t="str">
        <f>"A1x3 宗舜建設有限公司住宅新建工程"</f>
        <v>A1x3 宗舜建設有限公司住宅新建工程</v>
      </c>
      <c r="C114" t="str">
        <f>"(106)府建管(建)字第0435162~0435164號"</f>
        <v>(106)府建管(建)字第0435162~0435164號</v>
      </c>
      <c r="D114" t="str">
        <f>"108/11/19"</f>
        <v>108/11/19</v>
      </c>
      <c r="E114" t="str">
        <f>"2019/11/19 上午 12:00:00"</f>
        <v>2019/11/19 上午 12:00:00</v>
      </c>
      <c r="F114" t="str">
        <f>"A1"</f>
        <v>A1</v>
      </c>
    </row>
    <row r="115" spans="1:6" ht="16.5">
      <c r="A115" t="str">
        <f>"AA007011263"</f>
        <v>AA007011263</v>
      </c>
      <c r="B115" t="s">
        <v>22</v>
      </c>
      <c r="C115" t="str">
        <f>"106中都建字第246號"</f>
        <v>106中都建字第246號</v>
      </c>
      <c r="D115" t="str">
        <f>"108/11/21"</f>
        <v>108/11/21</v>
      </c>
      <c r="E115" t="str">
        <f>"2019/11/12 上午 12:00:00"</f>
        <v>2019/11/12 上午 12:00:00</v>
      </c>
      <c r="F115" t="s">
        <v>19</v>
      </c>
    </row>
    <row r="116" spans="1:6" ht="16.5">
      <c r="A116" t="str">
        <f>"AA007012845"</f>
        <v>AA007012845</v>
      </c>
      <c r="B116" t="str">
        <f>"A1+B1雅硯建設有限公司8戶住宅新建工程"</f>
        <v>A1+B1雅硯建設有限公司8戶住宅新建工程</v>
      </c>
      <c r="C116" t="str">
        <f>"106中都建字第2406.2407號"</f>
        <v>106中都建字第2406.2407號</v>
      </c>
      <c r="D116" t="str">
        <f>"108/11/21"</f>
        <v>108/11/21</v>
      </c>
      <c r="E116" t="str">
        <f>"2019/11/18 上午 12:00:00"</f>
        <v>2019/11/18 上午 12:00:00</v>
      </c>
      <c r="F116" t="s">
        <v>12</v>
      </c>
    </row>
    <row r="117" spans="1:6" ht="16.5">
      <c r="A117" t="str">
        <f>"AA007014036"</f>
        <v>AA007014036</v>
      </c>
      <c r="B117" t="str">
        <f>"劉邦堂 農舍新建工程"</f>
        <v>劉邦堂 農舍新建工程</v>
      </c>
      <c r="C117" t="str">
        <f>"（107）府建字第00006號"</f>
        <v>（107）府建字第00006號</v>
      </c>
      <c r="D117" t="str">
        <f>"108/11/18"</f>
        <v>108/11/18</v>
      </c>
      <c r="E117" t="str">
        <f>"2019/11/12 上午 12:00:00"</f>
        <v>2019/11/12 上午 12:00:00</v>
      </c>
      <c r="F117" t="s">
        <v>7</v>
      </c>
    </row>
    <row r="118" spans="1:6" ht="16.5">
      <c r="A118" t="str">
        <f>"AA007014119"</f>
        <v>AA007014119</v>
      </c>
      <c r="B118" t="str">
        <f>"伯新科技有限公司住宅新建工程"</f>
        <v>伯新科技有限公司住宅新建工程</v>
      </c>
      <c r="C118" t="str">
        <f>"(106)栗商建竹建字第00118號"</f>
        <v>(106)栗商建竹建字第00118號</v>
      </c>
      <c r="D118" t="str">
        <f>"108/11/19"</f>
        <v>108/11/19</v>
      </c>
      <c r="E118" t="str">
        <f>"2019/11/19 上午 12:00:00"</f>
        <v>2019/11/19 上午 12:00:00</v>
      </c>
      <c r="F118" t="s">
        <v>9</v>
      </c>
    </row>
    <row r="119" spans="1:6" ht="16.5">
      <c r="A119" t="str">
        <f>"AA007015054"</f>
        <v>AA007015054</v>
      </c>
      <c r="B119" t="str">
        <f>"鼎築建設股份有限公司新建住宅工程"</f>
        <v>鼎築建設股份有限公司新建住宅工程</v>
      </c>
      <c r="C119" t="str">
        <f>"106.12.29建管建字第760~767號"</f>
        <v>106.12.29建管建字第760~767號</v>
      </c>
      <c r="D119" t="str">
        <f>"108/11/27"</f>
        <v>108/11/27</v>
      </c>
      <c r="E119" t="str">
        <f>"2019/11/27 上午 12:00:00"</f>
        <v>2019/11/27 上午 12:00:00</v>
      </c>
      <c r="F119" t="str">
        <f>"A1"</f>
        <v>A1</v>
      </c>
    </row>
    <row r="120" spans="1:6" ht="16.5">
      <c r="A120" t="str">
        <f>"AA007015190"</f>
        <v>AA007015190</v>
      </c>
      <c r="B120" t="str">
        <f>"A1 全鉅建設有限公司住宅新建工程"</f>
        <v>A1 全鉅建設有限公司住宅新建工程</v>
      </c>
      <c r="C120" t="str">
        <f>"106中都建字第02288號"</f>
        <v>106中都建字第02288號</v>
      </c>
      <c r="D120" t="str">
        <f>"108/11/28"</f>
        <v>108/11/28</v>
      </c>
      <c r="E120" t="str">
        <f>"2019/11/28 上午 12:00:00"</f>
        <v>2019/11/28 上午 12:00:00</v>
      </c>
      <c r="F120" t="str">
        <f>"A1"</f>
        <v>A1</v>
      </c>
    </row>
    <row r="121" spans="1:6" ht="16.5">
      <c r="A121" t="str">
        <f>"AA007015353"</f>
        <v>AA007015353</v>
      </c>
      <c r="B121" t="str">
        <f>"李仁輔 店鋪新建工程"</f>
        <v>李仁輔 店鋪新建工程</v>
      </c>
      <c r="C121" t="str">
        <f>"（107）高市工建築字第00054~00055號"</f>
        <v>（107）高市工建築字第00054~00055號</v>
      </c>
      <c r="D121" t="str">
        <f>"108/11/04"</f>
        <v>108/11/04</v>
      </c>
      <c r="E121" t="str">
        <f>"2019/10/31 上午 12:00:00"</f>
        <v>2019/10/31 上午 12:00:00</v>
      </c>
      <c r="F121" t="str">
        <f>"B1"</f>
        <v>B1</v>
      </c>
    </row>
    <row r="122" spans="1:6" ht="16.5">
      <c r="A122" t="str">
        <f>"AA007015773"</f>
        <v>AA007015773</v>
      </c>
      <c r="B122" t="str">
        <f>"達和建設龍潭八張犁段住宅新建工程A棟(SB1區)"</f>
        <v>達和建設龍潭八張犁段住宅新建工程A棟(SB1區)</v>
      </c>
      <c r="C122" t="str">
        <f>"（106）桃市都建執照字第會龍00399號"</f>
        <v>（106）桃市都建執照字第會龍00399號</v>
      </c>
      <c r="D122" t="str">
        <f>"108/11/22"</f>
        <v>108/11/22</v>
      </c>
      <c r="E122" t="str">
        <f>"2019/11/15 上午 12:00:00"</f>
        <v>2019/11/15 上午 12:00:00</v>
      </c>
      <c r="F122" t="s">
        <v>6</v>
      </c>
    </row>
    <row r="123" spans="1:6" ht="16.5">
      <c r="A123" t="str">
        <f>"AA007015832"</f>
        <v>AA007015832</v>
      </c>
      <c r="B123" t="str">
        <f>"達和建設龍潭八張犁段住宅新建工程B棟(SB2區)"</f>
        <v>達和建設龍潭八張犁段住宅新建工程B棟(SB2區)</v>
      </c>
      <c r="C123" t="str">
        <f>"（106）桃市都建執照字第會龍00670-01號"</f>
        <v>（106）桃市都建執照字第會龍00670-01號</v>
      </c>
      <c r="D123" t="str">
        <f>"108/11/22"</f>
        <v>108/11/22</v>
      </c>
      <c r="E123" t="str">
        <f>"2019/11/15 上午 12:00:00"</f>
        <v>2019/11/15 上午 12:00:00</v>
      </c>
      <c r="F123" t="s">
        <v>6</v>
      </c>
    </row>
    <row r="124" spans="1:6" ht="16.5">
      <c r="A124" t="str">
        <f>"AA007017845"</f>
        <v>AA007017845</v>
      </c>
      <c r="B124" t="str">
        <f>"鼓山區內惟段六小段張宅住宅新建工程"</f>
        <v>鼓山區內惟段六小段張宅住宅新建工程</v>
      </c>
      <c r="C124" t="str">
        <f>"(107)高市工建築字第00059號"</f>
        <v>(107)高市工建築字第00059號</v>
      </c>
      <c r="D124" t="str">
        <f>"108/11/19"</f>
        <v>108/11/19</v>
      </c>
      <c r="E124" t="str">
        <f>"2019/11/19 上午 12:00:00"</f>
        <v>2019/11/19 上午 12:00:00</v>
      </c>
      <c r="F124" t="str">
        <f>"A1"</f>
        <v>A1</v>
      </c>
    </row>
    <row r="125" spans="1:6" ht="16.5">
      <c r="A125" t="str">
        <f>"AA007018013"</f>
        <v>AA007018013</v>
      </c>
      <c r="B125" t="str">
        <f>"品生活建設羅東鎮南昌段云朵居設計案"</f>
        <v>品生活建設羅東鎮南昌段云朵居設計案</v>
      </c>
      <c r="C125" t="str">
        <f>"106.11.7建管建師字第90064號"</f>
        <v>106.11.7建管建師字第90064號</v>
      </c>
      <c r="D125" t="str">
        <f>"108/11/19"</f>
        <v>108/11/19</v>
      </c>
      <c r="E125" t="str">
        <f>"2019/10/23 上午 12:00:00"</f>
        <v>2019/10/23 上午 12:00:00</v>
      </c>
      <c r="F125" t="s">
        <v>23</v>
      </c>
    </row>
    <row r="126" spans="1:6" ht="16.5">
      <c r="A126" t="str">
        <f>"AA007019041"</f>
        <v>AA007019041</v>
      </c>
      <c r="B126" t="s">
        <v>24</v>
      </c>
      <c r="C126" t="str">
        <f>"107桃市都建執照字第會桃00072號"</f>
        <v>107桃市都建執照字第會桃00072號</v>
      </c>
      <c r="D126" t="str">
        <f>"108/11/27"</f>
        <v>108/11/27</v>
      </c>
      <c r="E126" t="str">
        <f>"2019/11/27 上午 12:00:00"</f>
        <v>2019/11/27 上午 12:00:00</v>
      </c>
      <c r="F126" t="s">
        <v>10</v>
      </c>
    </row>
    <row r="127" spans="1:6" ht="16.5">
      <c r="A127" t="str">
        <f>"AA007019221"</f>
        <v>AA007019221</v>
      </c>
      <c r="B127" t="str">
        <f>"瑞誠食品有限公司貳層廠房新建工程"</f>
        <v>瑞誠食品有限公司貳層廠房新建工程</v>
      </c>
      <c r="C127" t="str">
        <f>"(106)(12)(29) 建管建字第 00759號"</f>
        <v>(106)(12)(29) 建管建字第 00759號</v>
      </c>
      <c r="D127" t="str">
        <f>"108/11/08"</f>
        <v>108/11/08</v>
      </c>
      <c r="E127" t="str">
        <f>"2019/10/29 上午 12:00:00"</f>
        <v>2019/10/29 上午 12:00:00</v>
      </c>
      <c r="F127" t="str">
        <f>"C1"</f>
        <v>C1</v>
      </c>
    </row>
    <row r="128" spans="1:6" ht="16.5">
      <c r="A128" t="str">
        <f>"AA007019292"</f>
        <v>AA007019292</v>
      </c>
      <c r="B128" t="str">
        <f>"A1 洪瑋紫住宅新建工程"</f>
        <v>A1 洪瑋紫住宅新建工程</v>
      </c>
      <c r="C128" t="str">
        <f>"106中都建字第00611號"</f>
        <v>106中都建字第00611號</v>
      </c>
      <c r="D128" t="str">
        <f>"108/11/18"</f>
        <v>108/11/18</v>
      </c>
      <c r="E128" t="str">
        <f>"2019/11/13 上午 12:00:00"</f>
        <v>2019/11/13 上午 12:00:00</v>
      </c>
      <c r="F128" t="str">
        <f>"A1"</f>
        <v>A1</v>
      </c>
    </row>
    <row r="129" spans="1:6" ht="16.5">
      <c r="A129" t="str">
        <f>"AA007021795"</f>
        <v>AA007021795</v>
      </c>
      <c r="B129" t="str">
        <f>"黃聰洲 (4Fx1戶)住宅"</f>
        <v>黃聰洲 (4Fx1戶)住宅</v>
      </c>
      <c r="C129" t="str">
        <f>"(107)南工造字第 00438 號"</f>
        <v>(107)南工造字第 00438 號</v>
      </c>
      <c r="D129" t="str">
        <f>"108/11/05"</f>
        <v>108/11/05</v>
      </c>
      <c r="E129" t="str">
        <f>"2019/11/5 上午 12:00:00"</f>
        <v>2019/11/5 上午 12:00:00</v>
      </c>
      <c r="F129" t="str">
        <f>"A1"</f>
        <v>A1</v>
      </c>
    </row>
    <row r="130" spans="1:6" ht="16.5">
      <c r="A130" t="str">
        <f>"AA007022382"</f>
        <v>AA007022382</v>
      </c>
      <c r="B130" t="str">
        <f>"A1x10 凱瀧建設有限公司住宅新建工程"</f>
        <v>A1x10 凱瀧建設有限公司住宅新建工程</v>
      </c>
      <c r="C130" t="str">
        <f>"(107)府建管(建)字第0027630、0027631、0027633~0027640號"</f>
        <v>(107)府建管(建)字第0027630、0027631、0027633~0027640號</v>
      </c>
      <c r="D130" t="str">
        <f>"108/11/19"</f>
        <v>108/11/19</v>
      </c>
      <c r="E130" t="str">
        <f>"2019/11/19 上午 12:00:00"</f>
        <v>2019/11/19 上午 12:00:00</v>
      </c>
      <c r="F130" t="str">
        <f>"A1"</f>
        <v>A1</v>
      </c>
    </row>
    <row r="131" spans="1:6" ht="16.5">
      <c r="A131" t="str">
        <f>"AA007022562"</f>
        <v>AA007022562</v>
      </c>
      <c r="B131" t="str">
        <f>"謝宗憲店舖、住宅新建工程"</f>
        <v>謝宗憲店舖、住宅新建工程</v>
      </c>
      <c r="C131" t="str">
        <f>"(107)府建字第00057號"</f>
        <v>(107)府建字第00057號</v>
      </c>
      <c r="D131" t="str">
        <f>"108/11/25"</f>
        <v>108/11/25</v>
      </c>
      <c r="E131" t="str">
        <f>"2019/11/22 上午 12:00:00"</f>
        <v>2019/11/22 上午 12:00:00</v>
      </c>
      <c r="F131" t="s">
        <v>7</v>
      </c>
    </row>
    <row r="132" spans="1:6" ht="16.5">
      <c r="A132" t="str">
        <f>"AA007022863"</f>
        <v>AA007022863</v>
      </c>
      <c r="B132" t="str">
        <f>"贏球建設有限公司 負責人:林麗敏 新建工程"</f>
        <v>贏球建設有限公司 負責人:林麗敏 新建工程</v>
      </c>
      <c r="C132" t="str">
        <f>"(106)桃市都建執照字第會觀01348 號"</f>
        <v>(106)桃市都建執照字第會觀01348 號</v>
      </c>
      <c r="D132" t="str">
        <f>"108/11/07"</f>
        <v>108/11/07</v>
      </c>
      <c r="E132" t="str">
        <f>"2019/10/31 上午 12:00:00"</f>
        <v>2019/10/31 上午 12:00:00</v>
      </c>
      <c r="F132" t="s">
        <v>6</v>
      </c>
    </row>
    <row r="133" spans="1:6" ht="16.5">
      <c r="A133" t="str">
        <f>"AA007023292"</f>
        <v>AA007023292</v>
      </c>
      <c r="B133" t="str">
        <f>"A1x4 由富建設有限公司4戶住宅新建工程"</f>
        <v>A1x4 由富建設有限公司4戶住宅新建工程</v>
      </c>
      <c r="C133" t="str">
        <f>"107中都建字第00143~00146號"</f>
        <v>107中都建字第00143~00146號</v>
      </c>
      <c r="D133" t="str">
        <f>"108/11/14"</f>
        <v>108/11/14</v>
      </c>
      <c r="E133" t="str">
        <f>"2019/11/13 上午 12:00:00"</f>
        <v>2019/11/13 上午 12:00:00</v>
      </c>
      <c r="F133" t="str">
        <f>"A1"</f>
        <v>A1</v>
      </c>
    </row>
    <row r="134" spans="1:6" ht="16.5">
      <c r="A134" t="str">
        <f>"AA007024306"</f>
        <v>AA007024306</v>
      </c>
      <c r="B134" t="str">
        <f>"范世信住宅新建工程"</f>
        <v>范世信住宅新建工程</v>
      </c>
      <c r="C134" t="str">
        <f>"(106)府建字第00711號"</f>
        <v>(106)府建字第00711號</v>
      </c>
      <c r="D134" t="str">
        <f>"108/11/28"</f>
        <v>108/11/28</v>
      </c>
      <c r="E134" t="str">
        <f>"2019/11/18 上午 12:00:00"</f>
        <v>2019/11/18 上午 12:00:00</v>
      </c>
      <c r="F134" t="s">
        <v>7</v>
      </c>
    </row>
    <row r="135" spans="1:6" ht="16.5">
      <c r="A135" t="str">
        <f>"AA007024550"</f>
        <v>AA007024550</v>
      </c>
      <c r="B135" t="str">
        <f>"C1聚聯開發建設股份有限公司13戶住宅新建工程"</f>
        <v>C1聚聯開發建設股份有限公司13戶住宅新建工程</v>
      </c>
      <c r="C135" t="str">
        <f>"107中都建字第00032號"</f>
        <v>107中都建字第00032號</v>
      </c>
      <c r="D135" t="str">
        <f>"108/11/21"</f>
        <v>108/11/21</v>
      </c>
      <c r="E135" t="str">
        <f>"2019/11/18 上午 12:00:00"</f>
        <v>2019/11/18 上午 12:00:00</v>
      </c>
      <c r="F135" t="str">
        <f>"C1"</f>
        <v>C1</v>
      </c>
    </row>
    <row r="136" spans="1:6" ht="16.5">
      <c r="A136" t="str">
        <f>"AA007026068"</f>
        <v>AA007026068</v>
      </c>
      <c r="B136" t="str">
        <f>"A1-劉槃若劉義群住宅新建工程"</f>
        <v>A1-劉槃若劉義群住宅新建工程</v>
      </c>
      <c r="C136" t="str">
        <f>"107古營建字第00006號"</f>
        <v>107古營建字第00006號</v>
      </c>
      <c r="D136" t="str">
        <f>"108/11/05"</f>
        <v>108/11/05</v>
      </c>
      <c r="E136" t="str">
        <f>"2019/11/5 上午 12:00:00"</f>
        <v>2019/11/5 上午 12:00:00</v>
      </c>
      <c r="F136" t="str">
        <f>"A1"</f>
        <v>A1</v>
      </c>
    </row>
    <row r="137" spans="1:6" ht="16.5">
      <c r="A137" t="str">
        <f>"AA007026795"</f>
        <v>AA007026795</v>
      </c>
      <c r="B137" t="str">
        <f>"崴盛建設有限公司-住宅新建工程"</f>
        <v>崴盛建設有限公司-住宅新建工程</v>
      </c>
      <c r="C137" t="str">
        <f>"(107)(麥)營建字第00027號"</f>
        <v>(107)(麥)營建字第00027號</v>
      </c>
      <c r="D137" t="str">
        <f>"108/11/04"</f>
        <v>108/11/04</v>
      </c>
      <c r="E137" t="str">
        <f>"2019/11/4 上午 12:00:00"</f>
        <v>2019/11/4 上午 12:00:00</v>
      </c>
      <c r="F137" t="str">
        <f>"B1"</f>
        <v>B1</v>
      </c>
    </row>
    <row r="138" spans="1:6" ht="16.5">
      <c r="A138" t="str">
        <f>"AA007026891"</f>
        <v>AA007026891</v>
      </c>
      <c r="B138" t="str">
        <f>"A1-李金珠住宅新建工程"</f>
        <v>A1-李金珠住宅新建工程</v>
      </c>
      <c r="C138" t="str">
        <f>"A 107嘉市府都建執字第00031號"</f>
        <v>A 107嘉市府都建執字第00031號</v>
      </c>
      <c r="D138" t="str">
        <f>"108/11/04"</f>
        <v>108/11/04</v>
      </c>
      <c r="E138" t="str">
        <f>"2019/11/4 上午 12:00:00"</f>
        <v>2019/11/4 上午 12:00:00</v>
      </c>
      <c r="F138" t="str">
        <f>"A1"</f>
        <v>A1</v>
      </c>
    </row>
    <row r="139" spans="1:6" ht="16.5">
      <c r="A139" t="str">
        <f>"AA007028803"</f>
        <v>AA007028803</v>
      </c>
      <c r="B139" t="str">
        <f>"吳柏廣中壢區後興段住宅新建工程   "</f>
        <v>吳柏廣中壢區後興段住宅新建工程   </v>
      </c>
      <c r="C139" t="str">
        <f>"（106）桃市都建執照字第會壢00440號"</f>
        <v>（106）桃市都建執照字第會壢00440號</v>
      </c>
      <c r="D139" t="str">
        <f>"108/11/18"</f>
        <v>108/11/18</v>
      </c>
      <c r="E139" t="str">
        <f>"2019/11/15 上午 12:00:00"</f>
        <v>2019/11/15 上午 12:00:00</v>
      </c>
      <c r="F139" t="str">
        <f>"A1"</f>
        <v>A1</v>
      </c>
    </row>
    <row r="140" spans="1:6" ht="16.5">
      <c r="A140" t="str">
        <f>"AA007029090"</f>
        <v>AA007029090</v>
      </c>
      <c r="B140" t="str">
        <f>"A1X2臻璽開發建設有限公司二戶住宅新建工程"</f>
        <v>A1X2臻璽開發建設有限公司二戶住宅新建工程</v>
      </c>
      <c r="C140" t="str">
        <f>"107中都建字第00344.00345號"</f>
        <v>107中都建字第00344.00345號</v>
      </c>
      <c r="D140" t="str">
        <f>"108/11/30"</f>
        <v>108/11/30</v>
      </c>
      <c r="E140" t="str">
        <f>"2019/11/25 上午 12:00:00"</f>
        <v>2019/11/25 上午 12:00:00</v>
      </c>
      <c r="F140" t="str">
        <f>"A1"</f>
        <v>A1</v>
      </c>
    </row>
    <row r="141" spans="1:6" ht="16.5">
      <c r="A141" t="str">
        <f>"AA007029730"</f>
        <v>AA007029730</v>
      </c>
      <c r="B141" t="str">
        <f>"謝忠榮4FX1戶住宅新建工程"</f>
        <v>謝忠榮4FX1戶住宅新建工程</v>
      </c>
      <c r="C141" t="str">
        <f>"(106)南工造字第04441號"</f>
        <v>(106)南工造字第04441號</v>
      </c>
      <c r="D141" t="str">
        <f>"108/11/24"</f>
        <v>108/11/24</v>
      </c>
      <c r="E141" t="str">
        <f>"2019/11/19 上午 12:00:00"</f>
        <v>2019/11/19 上午 12:00:00</v>
      </c>
      <c r="F141" t="str">
        <f>"A1"</f>
        <v>A1</v>
      </c>
    </row>
    <row r="142" spans="1:6" ht="16.5">
      <c r="A142" t="str">
        <f>"AA007030280"</f>
        <v>AA007030280</v>
      </c>
      <c r="B142" t="str">
        <f>"陳惠屏 – 自由段住宅新建工程"</f>
        <v>陳惠屏 – 自由段住宅新建工程</v>
      </c>
      <c r="C142" t="str">
        <f>"（107）府工建字第00030號"</f>
        <v>（107）府工建字第00030號</v>
      </c>
      <c r="D142" t="str">
        <f>"108/11/17"</f>
        <v>108/11/17</v>
      </c>
      <c r="E142" t="str">
        <f>"2019/11/8 上午 12:00:00"</f>
        <v>2019/11/8 上午 12:00:00</v>
      </c>
      <c r="F142" t="str">
        <f>"A1"</f>
        <v>A1</v>
      </c>
    </row>
    <row r="143" spans="1:6" ht="16.5">
      <c r="A143" t="str">
        <f>"AA007031180"</f>
        <v>AA007031180</v>
      </c>
      <c r="B143" t="str">
        <f>"A1-B1-聖德資產開發有限公司斗南文安段11戶住宅新建工程"</f>
        <v>A1-B1-聖德資產開發有限公司斗南文安段11戶住宅新建工程</v>
      </c>
      <c r="C143" t="str">
        <f>"107雲營建字第88-89號"</f>
        <v>107雲營建字第88-89號</v>
      </c>
      <c r="D143" t="str">
        <f>"108/11/04"</f>
        <v>108/11/04</v>
      </c>
      <c r="E143" t="str">
        <f>"2019/10/31 上午 12:00:00"</f>
        <v>2019/10/31 上午 12:00:00</v>
      </c>
      <c r="F143" t="s">
        <v>12</v>
      </c>
    </row>
    <row r="144" spans="1:6" ht="16.5">
      <c r="A144" t="str">
        <f>"AA007031280"</f>
        <v>AA007031280</v>
      </c>
      <c r="B144" t="s">
        <v>25</v>
      </c>
      <c r="C144" t="str">
        <f>"107萬建字第00008號"</f>
        <v>107萬建字第00008號</v>
      </c>
      <c r="D144" t="str">
        <f>"108/11/25"</f>
        <v>108/11/25</v>
      </c>
      <c r="E144" t="str">
        <f>"2019/11/21 上午 12:00:00"</f>
        <v>2019/11/21 上午 12:00:00</v>
      </c>
      <c r="F144" t="s">
        <v>9</v>
      </c>
    </row>
    <row r="145" spans="1:6" ht="16.5">
      <c r="A145" t="str">
        <f>"AA007032789"</f>
        <v>AA007032789</v>
      </c>
      <c r="B145" t="str">
        <f>"台茂營造 大園區客運二段7戶透天住宅新建工程"</f>
        <v>台茂營造 大園區客運二段7戶透天住宅新建工程</v>
      </c>
      <c r="C145" t="str">
        <f>"(107)桃市都建執照字第會園 00178 號"</f>
        <v>(107)桃市都建執照字第會園 00178 號</v>
      </c>
      <c r="D145" t="str">
        <f>"108/11/07"</f>
        <v>108/11/07</v>
      </c>
      <c r="E145" t="str">
        <f>"2019/11/4 上午 12:00:00"</f>
        <v>2019/11/4 上午 12:00:00</v>
      </c>
      <c r="F145" t="s">
        <v>6</v>
      </c>
    </row>
    <row r="146" spans="1:6" ht="16.5">
      <c r="A146" t="str">
        <f>"AA007033258"</f>
        <v>AA007033258</v>
      </c>
      <c r="B146" t="str">
        <f>"B1 誠將建設有限公司住宅新建工程"</f>
        <v>B1 誠將建設有限公司住宅新建工程</v>
      </c>
      <c r="C146" t="str">
        <f>"107中都建字第00255號"</f>
        <v>107中都建字第00255號</v>
      </c>
      <c r="D146" t="str">
        <f>"108/11/05"</f>
        <v>108/11/05</v>
      </c>
      <c r="E146" t="str">
        <f>"2019/11/4 上午 12:00:00"</f>
        <v>2019/11/4 上午 12:00:00</v>
      </c>
      <c r="F146" t="str">
        <f>"B1"</f>
        <v>B1</v>
      </c>
    </row>
    <row r="147" spans="1:6" ht="16.5">
      <c r="A147" t="str">
        <f>"AA007033401"</f>
        <v>AA007033401</v>
      </c>
      <c r="B147" t="s">
        <v>26</v>
      </c>
      <c r="C147" t="str">
        <f>"(107)南工造字第00100-01號"</f>
        <v>(107)南工造字第00100-01號</v>
      </c>
      <c r="D147" t="str">
        <f>"108/11/11"</f>
        <v>108/11/11</v>
      </c>
      <c r="E147" t="str">
        <f>"2019/11/11 上午 12:00:00"</f>
        <v>2019/11/11 上午 12:00:00</v>
      </c>
      <c r="F147" t="s">
        <v>6</v>
      </c>
    </row>
    <row r="148" spans="1:6" ht="16.5">
      <c r="A148" t="str">
        <f>"AA007034029"</f>
        <v>AA007034029</v>
      </c>
      <c r="B148" t="str">
        <f>"A1-上和建築開發有限公司住宅新建工程"</f>
        <v>A1-上和建築開發有限公司住宅新建工程</v>
      </c>
      <c r="C148" t="str">
        <f>"A107嘉市府都建執字第0000115-0000116號"</f>
        <v>A107嘉市府都建執字第0000115-0000116號</v>
      </c>
      <c r="D148" t="str">
        <f>"108/11/26"</f>
        <v>108/11/26</v>
      </c>
      <c r="E148" t="str">
        <f>"2019/11/26 上午 12:00:00"</f>
        <v>2019/11/26 上午 12:00:00</v>
      </c>
      <c r="F148" t="str">
        <f>"A1"</f>
        <v>A1</v>
      </c>
    </row>
    <row r="149" spans="1:6" ht="16.5">
      <c r="A149" t="str">
        <f>"AA007034443"</f>
        <v>AA007034443</v>
      </c>
      <c r="B149" t="str">
        <f>"李右山3F*1戶辦公室住宅新建工程"</f>
        <v>李右山3F*1戶辦公室住宅新建工程</v>
      </c>
      <c r="C149" t="str">
        <f>"(106)南工造字第04220號"</f>
        <v>(106)南工造字第04220號</v>
      </c>
      <c r="D149" t="str">
        <f>"108/11/26"</f>
        <v>108/11/26</v>
      </c>
      <c r="E149" t="str">
        <f>"2019/11/18 上午 12:00:00"</f>
        <v>2019/11/18 上午 12:00:00</v>
      </c>
      <c r="F149" t="s">
        <v>9</v>
      </c>
    </row>
    <row r="150" spans="1:6" ht="16.5">
      <c r="A150" t="str">
        <f>"AA007034460"</f>
        <v>AA007034460</v>
      </c>
      <c r="B150" t="str">
        <f>"邱顯詔 等4人  集合住宅新建工程"</f>
        <v>邱顯詔 等4人  集合住宅新建工程</v>
      </c>
      <c r="C150" t="str">
        <f>"(106)桃市都建執照字      第會桃01189號"</f>
        <v>(106)桃市都建執照字      第會桃01189號</v>
      </c>
      <c r="D150" t="str">
        <f>"108/11/26"</f>
        <v>108/11/26</v>
      </c>
      <c r="E150" t="str">
        <f>"2019/11/26 上午 12:00:00"</f>
        <v>2019/11/26 上午 12:00:00</v>
      </c>
      <c r="F150" t="s">
        <v>9</v>
      </c>
    </row>
    <row r="151" spans="1:6" ht="16.5">
      <c r="A151" t="str">
        <f>"AA007034608"</f>
        <v>AA007034608</v>
      </c>
      <c r="B151" t="str">
        <f>"白天鵝建設基隆市信義區中正段三小段7、8-1、10、11等四筆地號集合住宅新建工程"</f>
        <v>白天鵝建設基隆市信義區中正段三小段7、8-1、10、11等四筆地號集合住宅新建工程</v>
      </c>
      <c r="C151" t="str">
        <f>"(105)基府都建字第07777-01號"</f>
        <v>(105)基府都建字第07777-01號</v>
      </c>
      <c r="D151" t="str">
        <f>"108/11/11"</f>
        <v>108/11/11</v>
      </c>
      <c r="E151" t="str">
        <f>"2019/11/1 上午 12:00:00"</f>
        <v>2019/11/1 上午 12:00:00</v>
      </c>
      <c r="F151" t="s">
        <v>19</v>
      </c>
    </row>
    <row r="152" spans="1:6" ht="16.5">
      <c r="A152" t="str">
        <f>"AA007035090"</f>
        <v>AA007035090</v>
      </c>
      <c r="B152" t="str">
        <f>"簡瑞鴻 住宅新建工程"</f>
        <v>簡瑞鴻 住宅新建工程</v>
      </c>
      <c r="C152" t="str">
        <f>"(107)府建字第00076號"</f>
        <v>(107)府建字第00076號</v>
      </c>
      <c r="D152" t="str">
        <f>"108/11/25"</f>
        <v>108/11/25</v>
      </c>
      <c r="E152" t="str">
        <f>"2019/11/13 上午 12:00:00"</f>
        <v>2019/11/13 上午 12:00:00</v>
      </c>
      <c r="F152" t="str">
        <f>"A1"</f>
        <v>A1</v>
      </c>
    </row>
    <row r="153" spans="1:6" ht="16.5">
      <c r="A153" t="str">
        <f>"AA007035168"</f>
        <v>AA007035168</v>
      </c>
      <c r="B153" t="s">
        <v>27</v>
      </c>
      <c r="C153" t="str">
        <f>"107中都建字第00352~00354號"</f>
        <v>107中都建字第00352~00354號</v>
      </c>
      <c r="D153" t="str">
        <f>"108/11/02"</f>
        <v>108/11/02</v>
      </c>
      <c r="E153" t="str">
        <f>"2019/10/31 上午 12:00:00"</f>
        <v>2019/10/31 上午 12:00:00</v>
      </c>
      <c r="F153" t="s">
        <v>12</v>
      </c>
    </row>
    <row r="154" spans="1:6" ht="16.5">
      <c r="A154" t="str">
        <f>"AA007035981"</f>
        <v>AA007035981</v>
      </c>
      <c r="B154" t="str">
        <f>"A1 王惠美住宅新建工程"</f>
        <v>A1 王惠美住宅新建工程</v>
      </c>
      <c r="C154" t="str">
        <f>"107中都建字第00472號"</f>
        <v>107中都建字第00472號</v>
      </c>
      <c r="D154" t="str">
        <f>"108/11/06"</f>
        <v>108/11/06</v>
      </c>
      <c r="E154" t="str">
        <f>"2019/11/4 上午 12:00:00"</f>
        <v>2019/11/4 上午 12:00:00</v>
      </c>
      <c r="F154" t="str">
        <f>"A1"</f>
        <v>A1</v>
      </c>
    </row>
    <row r="155" spans="1:6" ht="16.5">
      <c r="A155" t="str">
        <f>"AA007037975"</f>
        <v>AA007037975</v>
      </c>
      <c r="B155" t="str">
        <f>"捷登建設龍潭區北興段792地號等1筆集合住宅新建工程 "</f>
        <v>捷登建設龍潭區北興段792地號等1筆集合住宅新建工程 </v>
      </c>
      <c r="C155" t="str">
        <f>"（106）桃市都建執照字第會 龍01259號"</f>
        <v>（106）桃市都建執照字第會 龍01259號</v>
      </c>
      <c r="D155" t="str">
        <f>"108/11/26"</f>
        <v>108/11/26</v>
      </c>
      <c r="E155" t="str">
        <f>"2019/11/26 上午 12:00:00"</f>
        <v>2019/11/26 上午 12:00:00</v>
      </c>
      <c r="F155" t="s">
        <v>19</v>
      </c>
    </row>
    <row r="156" spans="1:6" ht="16.5">
      <c r="A156" t="str">
        <f>"AA007038068"</f>
        <v>AA007038068</v>
      </c>
      <c r="B156" t="str">
        <f>"共同建設股份有限公司臺北市大安區仁愛段集合住宅新建工程(第一次變更設計)"</f>
        <v>共同建設股份有限公司臺北市大安區仁愛段集合住宅新建工程(第一次變更設計)</v>
      </c>
      <c r="C156" t="str">
        <f>"105建字第0210號"</f>
        <v>105建字第0210號</v>
      </c>
      <c r="D156" t="str">
        <f>"108/11/28"</f>
        <v>108/11/28</v>
      </c>
      <c r="E156" t="str">
        <f>"2019/11/22 上午 12:00:00"</f>
        <v>2019/11/22 上午 12:00:00</v>
      </c>
      <c r="F156" t="s">
        <v>6</v>
      </c>
    </row>
    <row r="157" spans="1:6" ht="16.5">
      <c r="A157" t="str">
        <f>"AA007038158"</f>
        <v>AA007038158</v>
      </c>
      <c r="B157" t="str">
        <f>"新建工廠電信工程"</f>
        <v>新建工廠電信工程</v>
      </c>
      <c r="C157" t="str">
        <f>"(107)桃市都建執照字第會楊00181號"</f>
        <v>(107)桃市都建執照字第會楊00181號</v>
      </c>
      <c r="D157" t="str">
        <f>"108/11/07"</f>
        <v>108/11/07</v>
      </c>
      <c r="E157" t="str">
        <f>"2019/10/28 上午 12:00:00"</f>
        <v>2019/10/28 上午 12:00:00</v>
      </c>
      <c r="F157" t="str">
        <f>"C1"</f>
        <v>C1</v>
      </c>
    </row>
    <row r="158" spans="1:6" ht="16.5">
      <c r="A158" t="str">
        <f>"AA007038550"</f>
        <v>AA007038550</v>
      </c>
      <c r="B158" t="str">
        <f>"B1 朱莉黛店鋪新建工程"</f>
        <v>B1 朱莉黛店鋪新建工程</v>
      </c>
      <c r="C158" t="str">
        <f>"107中都建字第00448號"</f>
        <v>107中都建字第00448號</v>
      </c>
      <c r="D158" t="str">
        <f>"108/11/25"</f>
        <v>108/11/25</v>
      </c>
      <c r="E158" t="str">
        <f>"2019/11/11 上午 12:00:00"</f>
        <v>2019/11/11 上午 12:00:00</v>
      </c>
      <c r="F158" t="str">
        <f>"B1"</f>
        <v>B1</v>
      </c>
    </row>
    <row r="159" spans="1:6" ht="16.5">
      <c r="A159" t="str">
        <f>"AA007039221"</f>
        <v>AA007039221</v>
      </c>
      <c r="B159" t="str">
        <f>"三陽工業內湖潭美段廠房新建工程"</f>
        <v>三陽工業內湖潭美段廠房新建工程</v>
      </c>
      <c r="C159" t="str">
        <f>"107建字第0046號"</f>
        <v>107建字第0046號</v>
      </c>
      <c r="D159" t="str">
        <f>"108/11/19"</f>
        <v>108/11/19</v>
      </c>
      <c r="E159" t="str">
        <f>"2019/11/6 上午 12:00:00"</f>
        <v>2019/11/6 上午 12:00:00</v>
      </c>
      <c r="F159" t="s">
        <v>6</v>
      </c>
    </row>
    <row r="160" spans="1:6" ht="16.5">
      <c r="A160" t="str">
        <f>"AA007039348"</f>
        <v>AA007039348</v>
      </c>
      <c r="B160" t="str">
        <f>"吉丞建設三重區集美段23地號住宅新建工程(第一次變更設計)"</f>
        <v>吉丞建設三重區集美段23地號住宅新建工程(第一次變更設計)</v>
      </c>
      <c r="C160" t="str">
        <f>"105重建字第00453號"</f>
        <v>105重建字第00453號</v>
      </c>
      <c r="D160" t="str">
        <f>"108/11/04"</f>
        <v>108/11/04</v>
      </c>
      <c r="E160" t="str">
        <f>"2019/10/5 上午 12:00:00"</f>
        <v>2019/10/5 上午 12:00:00</v>
      </c>
      <c r="F160" t="s">
        <v>6</v>
      </c>
    </row>
    <row r="161" spans="1:6" ht="16.5">
      <c r="A161" t="str">
        <f>"AA007039370"</f>
        <v>AA007039370</v>
      </c>
      <c r="B161" t="s">
        <v>28</v>
      </c>
      <c r="C161" t="str">
        <f>"107中都建字第00277號"</f>
        <v>107中都建字第00277號</v>
      </c>
      <c r="D161" t="str">
        <f>"108/11/30"</f>
        <v>108/11/30</v>
      </c>
      <c r="E161" t="str">
        <f>"2019/11/26 上午 12:00:00"</f>
        <v>2019/11/26 上午 12:00:00</v>
      </c>
      <c r="F161" t="s">
        <v>9</v>
      </c>
    </row>
    <row r="162" spans="1:6" ht="16.5">
      <c r="A162" t="str">
        <f>"AA007040263"</f>
        <v>AA007040263</v>
      </c>
      <c r="B162" t="str">
        <f>"興力旺建設有限公司住宅新建工程"</f>
        <v>興力旺建設有限公司住宅新建工程</v>
      </c>
      <c r="C162" t="str">
        <f>"(107)桃市都建執照字第會屋00105號"</f>
        <v>(107)桃市都建執照字第會屋00105號</v>
      </c>
      <c r="D162" t="str">
        <f>"108/11/14"</f>
        <v>108/11/14</v>
      </c>
      <c r="E162" t="str">
        <f>"2019/11/1 上午 12:00:00"</f>
        <v>2019/11/1 上午 12:00:00</v>
      </c>
      <c r="F162" t="s">
        <v>6</v>
      </c>
    </row>
    <row r="163" spans="1:6" ht="16.5">
      <c r="A163" t="str">
        <f>"AA007040382"</f>
        <v>AA007040382</v>
      </c>
      <c r="B163" t="str">
        <f>"D1-保旺塑膠有限公司、冠旭企業有限公司廠房新建工程"</f>
        <v>D1-保旺塑膠有限公司、冠旭企業有限公司廠房新建工程</v>
      </c>
      <c r="C163" t="str">
        <f>"(107)(雲)營建字第00065號"</f>
        <v>(107)(雲)營建字第00065號</v>
      </c>
      <c r="D163" t="str">
        <f>"108/11/05"</f>
        <v>108/11/05</v>
      </c>
      <c r="E163" t="str">
        <f>"2019/11/5 上午 12:00:00"</f>
        <v>2019/11/5 上午 12:00:00</v>
      </c>
      <c r="F163" t="str">
        <f>"D1"</f>
        <v>D1</v>
      </c>
    </row>
    <row r="164" spans="1:6" ht="16.5">
      <c r="A164" t="str">
        <f>"AA007041029"</f>
        <v>AA007041029</v>
      </c>
      <c r="B164" t="str">
        <f>"博仁建設股份有限公司22戶住宅、集合住宅新建工程"</f>
        <v>博仁建設股份有限公司22戶住宅、集合住宅新建工程</v>
      </c>
      <c r="C164" t="str">
        <f>"(107)高市工建築字第00459~00465號"</f>
        <v>(107)高市工建築字第00459~00465號</v>
      </c>
      <c r="D164" t="str">
        <f>"108/11/22"</f>
        <v>108/11/22</v>
      </c>
      <c r="E164" t="str">
        <f>"2019/11/22 上午 12:00:00"</f>
        <v>2019/11/22 上午 12:00:00</v>
      </c>
      <c r="F164" t="s">
        <v>29</v>
      </c>
    </row>
    <row r="165" spans="1:6" ht="16.5">
      <c r="A165" t="str">
        <f>"AA007041708"</f>
        <v>AA007041708</v>
      </c>
      <c r="B165" t="str">
        <f>"新竹區漁會店舖、辦公室新建工程"</f>
        <v>新竹區漁會店舖、辦公室新建工程</v>
      </c>
      <c r="C165" t="str">
        <f>"(107)府工建字第00011號"</f>
        <v>(107)府工建字第00011號</v>
      </c>
      <c r="D165" t="str">
        <f>"108/11/28"</f>
        <v>108/11/28</v>
      </c>
      <c r="E165" t="str">
        <f>"2019/11/19 上午 12:00:00"</f>
        <v>2019/11/19 上午 12:00:00</v>
      </c>
      <c r="F165" t="s">
        <v>30</v>
      </c>
    </row>
    <row r="166" spans="1:6" ht="16.5">
      <c r="A166" t="str">
        <f>"AA007041730"</f>
        <v>AA007041730</v>
      </c>
      <c r="B166" t="str">
        <f>"A1x5 耀鼎建設有限公司等5戶住宅新建工程"</f>
        <v>A1x5 耀鼎建設有限公司等5戶住宅新建工程</v>
      </c>
      <c r="C166" t="str">
        <f>"106中都建字第02677~02681號"</f>
        <v>106中都建字第02677~02681號</v>
      </c>
      <c r="D166" t="str">
        <f>"108/11/07"</f>
        <v>108/11/07</v>
      </c>
      <c r="E166" t="str">
        <f>"2019/11/7 上午 12:00:00"</f>
        <v>2019/11/7 上午 12:00:00</v>
      </c>
      <c r="F166" t="str">
        <f>"A1"</f>
        <v>A1</v>
      </c>
    </row>
    <row r="167" spans="1:6" ht="16.5">
      <c r="A167" t="str">
        <f>"AA007041900"</f>
        <v>AA007041900</v>
      </c>
      <c r="B167" t="str">
        <f>"A1x7 拓建建設有限公司住宅新建工程"</f>
        <v>A1x7 拓建建設有限公司住宅新建工程</v>
      </c>
      <c r="C167" t="str">
        <f>"107中都建字第00246~00252號"</f>
        <v>107中都建字第00246~00252號</v>
      </c>
      <c r="D167" t="str">
        <f>"108/11/25"</f>
        <v>108/11/25</v>
      </c>
      <c r="E167" t="str">
        <f>"2019/11/21 上午 12:00:00"</f>
        <v>2019/11/21 上午 12:00:00</v>
      </c>
      <c r="F167" t="str">
        <f>"A1"</f>
        <v>A1</v>
      </c>
    </row>
    <row r="168" spans="1:6" ht="16.5">
      <c r="A168" t="str">
        <f>"AA007043324"</f>
        <v>AA007043324</v>
      </c>
      <c r="B168" t="str">
        <f>"陳春鋒住宅新建工程"</f>
        <v>陳春鋒住宅新建工程</v>
      </c>
      <c r="C168" t="str">
        <f>"(106)府建造字第06331號"</f>
        <v>(106)府建造字第06331號</v>
      </c>
      <c r="D168" t="str">
        <f>"108/11/08"</f>
        <v>108/11/08</v>
      </c>
      <c r="E168" t="str">
        <f>"2019/10/28 上午 12:00:00"</f>
        <v>2019/10/28 上午 12:00:00</v>
      </c>
      <c r="F168" t="str">
        <f>"A1"</f>
        <v>A1</v>
      </c>
    </row>
    <row r="169" spans="1:6" ht="16.5">
      <c r="A169" t="str">
        <f>"AA007043348"</f>
        <v>AA007043348</v>
      </c>
      <c r="B169" t="str">
        <f>"陳尚文住宅新建工程"</f>
        <v>陳尚文住宅新建工程</v>
      </c>
      <c r="C169" t="str">
        <f>"(106)府建造字第06330號"</f>
        <v>(106)府建造字第06330號</v>
      </c>
      <c r="D169" t="str">
        <f>"108/11/08"</f>
        <v>108/11/08</v>
      </c>
      <c r="E169" t="str">
        <f>"2019/10/28 上午 12:00:00"</f>
        <v>2019/10/28 上午 12:00:00</v>
      </c>
      <c r="F169" t="str">
        <f>"A1"</f>
        <v>A1</v>
      </c>
    </row>
    <row r="170" spans="1:6" ht="16.5">
      <c r="A170" t="str">
        <f>"AA007046007"</f>
        <v>AA007046007</v>
      </c>
      <c r="B170" t="str">
        <f>"A1 楊培廷住宅新建工程"</f>
        <v>A1 楊培廷住宅新建工程</v>
      </c>
      <c r="C170" t="str">
        <f>"107中都建字第00560號"</f>
        <v>107中都建字第00560號</v>
      </c>
      <c r="D170" t="str">
        <f>"108/11/25"</f>
        <v>108/11/25</v>
      </c>
      <c r="E170" t="str">
        <f>"2019/11/21 上午 12:00:00"</f>
        <v>2019/11/21 上午 12:00:00</v>
      </c>
      <c r="F170" t="str">
        <f>"A1"</f>
        <v>A1</v>
      </c>
    </row>
    <row r="171" spans="1:6" ht="16.5">
      <c r="A171" t="str">
        <f>"AA007047910"</f>
        <v>AA007047910</v>
      </c>
      <c r="B171" t="str">
        <f>"羅振通東城段廠房新建工程"</f>
        <v>羅振通東城段廠房新建工程</v>
      </c>
      <c r="C171" t="str">
        <f>"107.2.14建管建字第00119號"</f>
        <v>107.2.14建管建字第00119號</v>
      </c>
      <c r="D171" t="str">
        <f>"108/11/08"</f>
        <v>108/11/08</v>
      </c>
      <c r="E171" t="str">
        <f>"2019/10/29 上午 12:00:00"</f>
        <v>2019/10/29 上午 12:00:00</v>
      </c>
      <c r="F171" t="str">
        <f>"B1"</f>
        <v>B1</v>
      </c>
    </row>
    <row r="172" spans="1:6" ht="16.5">
      <c r="A172" t="str">
        <f>"AA007048683"</f>
        <v>AA007048683</v>
      </c>
      <c r="B172" t="str">
        <f>"林佳儒住宅新建工程"</f>
        <v>林佳儒住宅新建工程</v>
      </c>
      <c r="C172" t="str">
        <f>"(107)(雲)營建字第343號"</f>
        <v>(107)(雲)營建字第343號</v>
      </c>
      <c r="D172" t="str">
        <f>"108/11/12"</f>
        <v>108/11/12</v>
      </c>
      <c r="E172" t="str">
        <f>"2019/11/8 上午 12:00:00"</f>
        <v>2019/11/8 上午 12:00:00</v>
      </c>
      <c r="F172" t="str">
        <f>"A1"</f>
        <v>A1</v>
      </c>
    </row>
    <row r="173" spans="1:6" ht="16.5">
      <c r="A173" t="str">
        <f>"AA007050623"</f>
        <v>AA007050623</v>
      </c>
      <c r="B173" t="str">
        <f>"吉漢建設新北市三芝區埔坪段495地號"</f>
        <v>吉漢建設新北市三芝區埔坪段495地號</v>
      </c>
      <c r="C173" t="str">
        <f>"107芝建字第00118號"</f>
        <v>107芝建字第00118號</v>
      </c>
      <c r="D173" t="str">
        <f>"108/11/05"</f>
        <v>108/11/05</v>
      </c>
      <c r="E173" t="str">
        <f>"2019/10/21 上午 12:00:00"</f>
        <v>2019/10/21 上午 12:00:00</v>
      </c>
      <c r="F173" t="s">
        <v>7</v>
      </c>
    </row>
    <row r="174" spans="1:6" ht="16.5">
      <c r="A174" t="str">
        <f>"AA007050652"</f>
        <v>AA007050652</v>
      </c>
      <c r="B174" t="str">
        <f>"吉漢建設新北市三芝區埔坪段500地號"</f>
        <v>吉漢建設新北市三芝區埔坪段500地號</v>
      </c>
      <c r="C174" t="str">
        <f>"107芝建字第00119號"</f>
        <v>107芝建字第00119號</v>
      </c>
      <c r="D174" t="str">
        <f>"108/11/05"</f>
        <v>108/11/05</v>
      </c>
      <c r="E174" t="str">
        <f>"2019/10/21 上午 12:00:00"</f>
        <v>2019/10/21 上午 12:00:00</v>
      </c>
      <c r="F174" t="s">
        <v>9</v>
      </c>
    </row>
    <row r="175" spans="1:6" ht="16.5">
      <c r="A175" t="str">
        <f>"AA007050900"</f>
        <v>AA007050900</v>
      </c>
      <c r="B175" t="str">
        <f>"陳緯倫住宅新建工程"</f>
        <v>陳緯倫住宅新建工程</v>
      </c>
      <c r="C175" t="str">
        <f>"107.3.20建管建字第00159號"</f>
        <v>107.3.20建管建字第00159號</v>
      </c>
      <c r="D175" t="str">
        <f>"108/11/18"</f>
        <v>108/11/18</v>
      </c>
      <c r="E175" t="str">
        <f>"2019/11/13 上午 12:00:00"</f>
        <v>2019/11/13 上午 12:00:00</v>
      </c>
      <c r="F175" t="str">
        <f>"A1"</f>
        <v>A1</v>
      </c>
    </row>
    <row r="176" spans="1:6" ht="16.5">
      <c r="A176" t="str">
        <f>"AA007051126"</f>
        <v>AA007051126</v>
      </c>
      <c r="B176" t="str">
        <f>"A1 余靜美店舖.住宅新建工程"</f>
        <v>A1 余靜美店舖.住宅新建工程</v>
      </c>
      <c r="C176" t="str">
        <f>"107中都建字第00701號"</f>
        <v>107中都建字第00701號</v>
      </c>
      <c r="D176" t="str">
        <f>"108/11/30"</f>
        <v>108/11/30</v>
      </c>
      <c r="E176" t="str">
        <f>"2019/11/25 上午 12:00:00"</f>
        <v>2019/11/25 上午 12:00:00</v>
      </c>
      <c r="F176" t="str">
        <f>"A1"</f>
        <v>A1</v>
      </c>
    </row>
    <row r="177" spans="1:6" ht="16.5">
      <c r="A177" t="str">
        <f>"AA007052041"</f>
        <v>AA007052041</v>
      </c>
      <c r="B177" t="str">
        <f>"A1 凃如芬店鋪.住宅新建工程"</f>
        <v>A1 凃如芬店鋪.住宅新建工程</v>
      </c>
      <c r="C177" t="str">
        <f>"106中都建字第02621號"</f>
        <v>106中都建字第02621號</v>
      </c>
      <c r="D177" t="str">
        <f>"108/11/14"</f>
        <v>108/11/14</v>
      </c>
      <c r="E177" t="str">
        <f>"2019/11/13 上午 12:00:00"</f>
        <v>2019/11/13 上午 12:00:00</v>
      </c>
      <c r="F177" t="str">
        <f>"A1"</f>
        <v>A1</v>
      </c>
    </row>
    <row r="178" spans="1:6" ht="16.5">
      <c r="A178" t="str">
        <f>"AA007053953"</f>
        <v>AA007053953</v>
      </c>
      <c r="B178" t="str">
        <f>"潘明享診所、住宅 新建工程"</f>
        <v>潘明享診所、住宅 新建工程</v>
      </c>
      <c r="C178" t="str">
        <f>"(106)高市工建築字第02812號"</f>
        <v>(106)高市工建築字第02812號</v>
      </c>
      <c r="D178" t="str">
        <f>"108/11/11"</f>
        <v>108/11/11</v>
      </c>
      <c r="E178" t="str">
        <f>"2019/11/7 上午 12:00:00"</f>
        <v>2019/11/7 上午 12:00:00</v>
      </c>
      <c r="F178" t="str">
        <f>"B1"</f>
        <v>B1</v>
      </c>
    </row>
    <row r="179" spans="1:6" ht="16.5">
      <c r="A179" t="str">
        <f>"AA007054755"</f>
        <v>AA007054755</v>
      </c>
      <c r="B179" t="str">
        <f>"台灣斯藝堂有限公司 負責人:陳淑萍(1Fx1戶)工廠"</f>
        <v>台灣斯藝堂有限公司 負責人:陳淑萍(1Fx1戶)工廠</v>
      </c>
      <c r="C179" t="str">
        <f>"(107)南工造字第00815 號"</f>
        <v>(107)南工造字第00815 號</v>
      </c>
      <c r="D179" t="str">
        <f>"108/11/03"</f>
        <v>108/11/03</v>
      </c>
      <c r="E179" t="str">
        <f>"2019/11/1 上午 12:00:00"</f>
        <v>2019/11/1 上午 12:00:00</v>
      </c>
      <c r="F179" t="str">
        <f>"C1"</f>
        <v>C1</v>
      </c>
    </row>
    <row r="180" spans="1:6" ht="16.5">
      <c r="A180" t="str">
        <f>"AA007055910"</f>
        <v>AA007055910</v>
      </c>
      <c r="B180" t="str">
        <f>"陳志葳店舖住宅新建工程"</f>
        <v>陳志葳店舖住宅新建工程</v>
      </c>
      <c r="C180" t="str">
        <f>"107.3.12建管建字第00142號"</f>
        <v>107.3.12建管建字第00142號</v>
      </c>
      <c r="D180" t="str">
        <f>"108/11/25"</f>
        <v>108/11/25</v>
      </c>
      <c r="E180" t="str">
        <f>"2019/11/21 上午 12:00:00"</f>
        <v>2019/11/21 上午 12:00:00</v>
      </c>
      <c r="F180" t="str">
        <f>"A1"</f>
        <v>A1</v>
      </c>
    </row>
    <row r="181" spans="1:6" ht="16.5">
      <c r="A181" t="str">
        <f>"AA007055975"</f>
        <v>AA007055975</v>
      </c>
      <c r="B181" t="str">
        <f>"A1 吳景裕住宅新建工程"</f>
        <v>A1 吳景裕住宅新建工程</v>
      </c>
      <c r="C181" t="str">
        <f>"(107)府建管(建)字第0048499號"</f>
        <v>(107)府建管(建)字第0048499號</v>
      </c>
      <c r="D181" t="str">
        <f>"108/11/24"</f>
        <v>108/11/24</v>
      </c>
      <c r="E181" t="str">
        <f>"2019/11/22 上午 12:00:00"</f>
        <v>2019/11/22 上午 12:00:00</v>
      </c>
      <c r="F181" t="str">
        <f>"A1"</f>
        <v>A1</v>
      </c>
    </row>
    <row r="182" spans="1:6" ht="16.5">
      <c r="A182" t="str">
        <f>"AA007057083"</f>
        <v>AA007057083</v>
      </c>
      <c r="B182" t="str">
        <f>"A1-吳華君二戶住宅新建工程"</f>
        <v>A1-吳華君二戶住宅新建工程</v>
      </c>
      <c r="C182" t="str">
        <f>"(107)嘉水鄉建執字第00017號"</f>
        <v>(107)嘉水鄉建執字第00017號</v>
      </c>
      <c r="D182" t="str">
        <f>"108/11/26"</f>
        <v>108/11/26</v>
      </c>
      <c r="E182" t="str">
        <f>"2019/11/26 上午 12:00:00"</f>
        <v>2019/11/26 上午 12:00:00</v>
      </c>
      <c r="F182" t="str">
        <f>"A1"</f>
        <v>A1</v>
      </c>
    </row>
    <row r="183" spans="1:6" ht="16.5">
      <c r="A183" t="str">
        <f>"AA007057144"</f>
        <v>AA007057144</v>
      </c>
      <c r="B183" t="str">
        <f>"黃維德 住宅新建工程"</f>
        <v>黃維德 住宅新建工程</v>
      </c>
      <c r="C183" t="str">
        <f>"(107)高市工建築字第00650號"</f>
        <v>(107)高市工建築字第00650號</v>
      </c>
      <c r="D183" t="str">
        <f>"108/11/11"</f>
        <v>108/11/11</v>
      </c>
      <c r="E183" t="str">
        <f>"2019/10/31 上午 12:00:00"</f>
        <v>2019/10/31 上午 12:00:00</v>
      </c>
      <c r="F183" t="str">
        <f>"A1"</f>
        <v>A1</v>
      </c>
    </row>
    <row r="184" spans="1:6" ht="16.5">
      <c r="A184" t="str">
        <f>"AA007057190"</f>
        <v>AA007057190</v>
      </c>
      <c r="B184" t="str">
        <f>"理銘開發股份有限公司拾層店鋪集合住宅新建工程"</f>
        <v>理銘開發股份有限公司拾層店鋪集合住宅新建工程</v>
      </c>
      <c r="C184" t="str">
        <f>"(107)府工建字第00089號"</f>
        <v>(107)府工建字第00089號</v>
      </c>
      <c r="D184" t="str">
        <f>"108/11/04"</f>
        <v>108/11/04</v>
      </c>
      <c r="E184" t="str">
        <f>"2019/10/18 上午 12:00:00"</f>
        <v>2019/10/18 上午 12:00:00</v>
      </c>
      <c r="F184" t="s">
        <v>6</v>
      </c>
    </row>
    <row r="185" spans="1:6" ht="16.5">
      <c r="A185" t="str">
        <f>"AA007057370"</f>
        <v>AA007057370</v>
      </c>
      <c r="B185" t="str">
        <f>"長野建設北安段467地號集合住宅新建工程"</f>
        <v>長野建設北安段467地號集合住宅新建工程</v>
      </c>
      <c r="C185" t="str">
        <f>"105建字第0136號"</f>
        <v>105建字第0136號</v>
      </c>
      <c r="D185" t="str">
        <f>"108/11/26"</f>
        <v>108/11/26</v>
      </c>
      <c r="E185" t="str">
        <f>"2019/11/15 上午 12:00:00"</f>
        <v>2019/11/15 上午 12:00:00</v>
      </c>
      <c r="F185" t="s">
        <v>6</v>
      </c>
    </row>
    <row r="186" spans="1:6" ht="16.5">
      <c r="A186" t="str">
        <f>"AA007058414"</f>
        <v>AA007058414</v>
      </c>
      <c r="B186" t="str">
        <f>"東方郡建設有限公司-集合住宅新建工程"</f>
        <v>東方郡建設有限公司-集合住宅新建工程</v>
      </c>
      <c r="C186" t="str">
        <f>"(107)府建字第00073號(01)"</f>
        <v>(107)府建字第00073號(01)</v>
      </c>
      <c r="D186" t="str">
        <f>"108/11/03"</f>
        <v>108/11/03</v>
      </c>
      <c r="E186" t="str">
        <f>"2019/10/24 上午 12:00:00"</f>
        <v>2019/10/24 上午 12:00:00</v>
      </c>
      <c r="F186" t="s">
        <v>6</v>
      </c>
    </row>
    <row r="187" spans="1:6" ht="16.5">
      <c r="A187" t="str">
        <f>"AA007059550"</f>
        <v>AA007059550</v>
      </c>
      <c r="B187" t="str">
        <f>"臺億建經承德集合住宅新建工程"</f>
        <v>臺億建經承德集合住宅新建工程</v>
      </c>
      <c r="C187" t="str">
        <f>"104建字第0078號"</f>
        <v>104建字第0078號</v>
      </c>
      <c r="D187" t="str">
        <f>"108/11/04"</f>
        <v>108/11/04</v>
      </c>
      <c r="E187" t="str">
        <f>"2019/10/22 上午 12:00:00"</f>
        <v>2019/10/22 上午 12:00:00</v>
      </c>
      <c r="F187" t="s">
        <v>6</v>
      </c>
    </row>
    <row r="188" spans="1:6" ht="16.5">
      <c r="A188" t="str">
        <f>"AA007059953"</f>
        <v>AA007059953</v>
      </c>
      <c r="B188" t="str">
        <f>"林鑫谷集合住宅新建工程"</f>
        <v>林鑫谷集合住宅新建工程</v>
      </c>
      <c r="C188" t="str">
        <f>"107蘆建字第00086號"</f>
        <v>107蘆建字第00086號</v>
      </c>
      <c r="D188" t="str">
        <f>"108/11/04"</f>
        <v>108/11/04</v>
      </c>
      <c r="E188" t="str">
        <f>"2019/10/23 上午 12:00:00"</f>
        <v>2019/10/23 上午 12:00:00</v>
      </c>
      <c r="F188" t="s">
        <v>6</v>
      </c>
    </row>
    <row r="189" spans="1:6" ht="16.5">
      <c r="A189" t="str">
        <f>"TY107060013"</f>
        <v>TY107060013</v>
      </c>
      <c r="B189" t="str">
        <f>"羅曰洲農舍新建工程"</f>
        <v>羅曰洲農舍新建工程</v>
      </c>
      <c r="C189" t="str">
        <f>"(102)桃縣工建執照字第會龍01862號"</f>
        <v>(102)桃縣工建執照字第會龍01862號</v>
      </c>
      <c r="D189" t="str">
        <f>"108/11/11"</f>
        <v>108/11/11</v>
      </c>
      <c r="E189" t="str">
        <f>"2019/11/11 上午 12:00:00"</f>
        <v>2019/11/11 上午 12:00:00</v>
      </c>
      <c r="F189" t="str">
        <f>"A1"</f>
        <v>A1</v>
      </c>
    </row>
    <row r="190" spans="1:6" ht="16.5">
      <c r="A190" t="str">
        <f>"AA007060126"</f>
        <v>AA007060126</v>
      </c>
      <c r="B190" t="str">
        <f>"(洪松田)(一暘建設)斗六市斗六段一棟5層住宅新建工程"</f>
        <v>(洪松田)(一暘建設)斗六市斗六段一棟5層住宅新建工程</v>
      </c>
      <c r="C190" t="str">
        <f>"(107)(雲)營建字第00256號"</f>
        <v>(107)(雲)營建字第00256號</v>
      </c>
      <c r="D190" t="str">
        <f>"108/11/05"</f>
        <v>108/11/05</v>
      </c>
      <c r="E190" t="str">
        <f>"2019/11/5 上午 12:00:00"</f>
        <v>2019/11/5 上午 12:00:00</v>
      </c>
      <c r="F190" t="str">
        <f>"B1"</f>
        <v>B1</v>
      </c>
    </row>
    <row r="191" spans="1:6" ht="16.5">
      <c r="A191" t="str">
        <f>"AA007060438"</f>
        <v>AA007060438</v>
      </c>
      <c r="B191" t="str">
        <f>"A1 陳森賓住宅新建工程"</f>
        <v>A1 陳森賓住宅新建工程</v>
      </c>
      <c r="C191" t="str">
        <f>"(107)府建管(建)字第0108273號"</f>
        <v>(107)府建管(建)字第0108273號</v>
      </c>
      <c r="D191" t="str">
        <f>"108/11/19"</f>
        <v>108/11/19</v>
      </c>
      <c r="E191" t="str">
        <f>"2019/11/19 上午 12:00:00"</f>
        <v>2019/11/19 上午 12:00:00</v>
      </c>
      <c r="F191" t="str">
        <f>"A1"</f>
        <v>A1</v>
      </c>
    </row>
    <row r="192" spans="1:6" ht="16.5">
      <c r="A192" t="str">
        <f>"AA007060443"</f>
        <v>AA007060443</v>
      </c>
      <c r="B192" t="str">
        <f>"A1 呂玉蘭住宅新建工程"</f>
        <v>A1 呂玉蘭住宅新建工程</v>
      </c>
      <c r="C192" t="str">
        <f>"107中都建字第00616號"</f>
        <v>107中都建字第00616號</v>
      </c>
      <c r="D192" t="str">
        <f>"108/11/06"</f>
        <v>108/11/06</v>
      </c>
      <c r="E192" t="str">
        <f>"2019/11/5 上午 12:00:00"</f>
        <v>2019/11/5 上午 12:00:00</v>
      </c>
      <c r="F192" t="str">
        <f>"A1"</f>
        <v>A1</v>
      </c>
    </row>
    <row r="193" spans="1:6" ht="16.5">
      <c r="A193" t="str">
        <f>"AA007060683"</f>
        <v>AA007060683</v>
      </c>
      <c r="B193" t="str">
        <f>"陳瑞芳店鋪住宅新建工程"</f>
        <v>陳瑞芳店鋪住宅新建工程</v>
      </c>
      <c r="C193" t="str">
        <f>"(107)高市工建築字第00753號"</f>
        <v>(107)高市工建築字第00753號</v>
      </c>
      <c r="D193" t="str">
        <f>"108/11/20"</f>
        <v>108/11/20</v>
      </c>
      <c r="E193" t="str">
        <f>"2019/11/18 上午 12:00:00"</f>
        <v>2019/11/18 上午 12:00:00</v>
      </c>
      <c r="F193" t="str">
        <f>"A1"</f>
        <v>A1</v>
      </c>
    </row>
    <row r="194" spans="1:6" ht="16.5">
      <c r="A194" t="str">
        <f>"AA007061981"</f>
        <v>AA007061981</v>
      </c>
      <c r="B194" t="str">
        <f>"黃雅琳港墘段集合住宅新建工程"</f>
        <v>黃雅琳港墘段集合住宅新建工程</v>
      </c>
      <c r="C194" t="str">
        <f>"(107)高市工建築字第00777號"</f>
        <v>(107)高市工建築字第00777號</v>
      </c>
      <c r="D194" t="str">
        <f>"108/11/11"</f>
        <v>108/11/11</v>
      </c>
      <c r="E194" t="str">
        <f>"2019/10/30 上午 12:00:00"</f>
        <v>2019/10/30 上午 12:00:00</v>
      </c>
      <c r="F194" t="s">
        <v>9</v>
      </c>
    </row>
    <row r="195" spans="1:6" ht="16.5">
      <c r="A195" t="str">
        <f>"AA007062248"</f>
        <v>AA007062248</v>
      </c>
      <c r="B195" t="str">
        <f>"B1洪德林店鋪.集合住宅新建工程"</f>
        <v>B1洪德林店鋪.集合住宅新建工程</v>
      </c>
      <c r="C195" t="str">
        <f>"107中都建字第762號"</f>
        <v>107中都建字第762號</v>
      </c>
      <c r="D195" t="str">
        <f>"108/11/01"</f>
        <v>108/11/01</v>
      </c>
      <c r="E195" t="str">
        <f>"2019/10/30 上午 12:00:00"</f>
        <v>2019/10/30 上午 12:00:00</v>
      </c>
      <c r="F195" t="s">
        <v>9</v>
      </c>
    </row>
    <row r="196" spans="1:6" ht="16.5">
      <c r="A196" t="str">
        <f>"AA007063270"</f>
        <v>AA007063270</v>
      </c>
      <c r="B196" t="str">
        <f>"A1 洪麗華住宅新建工程"</f>
        <v>A1 洪麗華住宅新建工程</v>
      </c>
      <c r="C196" t="str">
        <f>"(107)府建管(建)字第0071033號"</f>
        <v>(107)府建管(建)字第0071033號</v>
      </c>
      <c r="D196" t="str">
        <f>"108/11/30"</f>
        <v>108/11/30</v>
      </c>
      <c r="E196" t="str">
        <f>"2019/11/29 上午 12:00:00"</f>
        <v>2019/11/29 上午 12:00:00</v>
      </c>
      <c r="F196" t="str">
        <f>"A1"</f>
        <v>A1</v>
      </c>
    </row>
    <row r="197" spans="1:6" ht="16.5">
      <c r="A197" t="str">
        <f>"AA007063338"</f>
        <v>AA007063338</v>
      </c>
      <c r="B197" t="str">
        <f>"繼榮建設新北市蘆洲區光華段1242等1筆地號集合住宅新建工程"</f>
        <v>繼榮建設新北市蘆洲區光華段1242等1筆地號集合住宅新建工程</v>
      </c>
      <c r="C197" t="str">
        <f>"107蘆建字第00122號"</f>
        <v>107蘆建字第00122號</v>
      </c>
      <c r="D197" t="str">
        <f>"108/11/18"</f>
        <v>108/11/18</v>
      </c>
      <c r="E197" t="str">
        <f>"2019/10/23 上午 12:00:00"</f>
        <v>2019/10/23 上午 12:00:00</v>
      </c>
      <c r="F197" t="s">
        <v>7</v>
      </c>
    </row>
    <row r="198" spans="1:6" ht="16.5">
      <c r="A198" t="str">
        <f>"AA007063730"</f>
        <v>AA007063730</v>
      </c>
      <c r="B198" t="str">
        <f>"宜蘭縣冬山鄉北富段住宅興建工程(A2~A11)"</f>
        <v>宜蘭縣冬山鄉北富段住宅興建工程(A2~A11)</v>
      </c>
      <c r="C198" t="str">
        <f>"107.4.23冬鄉建字第6723、6723-1~6723-8號"</f>
        <v>107.4.23冬鄉建字第6723、6723-1~6723-8號</v>
      </c>
      <c r="D198" t="str">
        <f>"108/11/25"</f>
        <v>108/11/25</v>
      </c>
      <c r="E198" t="str">
        <f>"2019/11/20 上午 12:00:00"</f>
        <v>2019/11/20 上午 12:00:00</v>
      </c>
      <c r="F198" t="str">
        <f>"A1"</f>
        <v>A1</v>
      </c>
    </row>
    <row r="199" spans="1:6" ht="16.5">
      <c r="A199" t="str">
        <f>"AA007063755"</f>
        <v>AA007063755</v>
      </c>
      <c r="B199" t="str">
        <f>"宜蘭縣冬山鄉北富段住宅興建工程(A1)"</f>
        <v>宜蘭縣冬山鄉北富段住宅興建工程(A1)</v>
      </c>
      <c r="C199" t="str">
        <f>"106.02.06冬鄉建字第1454號"</f>
        <v>106.02.06冬鄉建字第1454號</v>
      </c>
      <c r="D199" t="str">
        <f>"108/11/25"</f>
        <v>108/11/25</v>
      </c>
      <c r="E199" t="str">
        <f>"2019/11/20 上午 12:00:00"</f>
        <v>2019/11/20 上午 12:00:00</v>
      </c>
      <c r="F199" t="str">
        <f>"A1"</f>
        <v>A1</v>
      </c>
    </row>
    <row r="200" spans="1:6" ht="16.5">
      <c r="A200" t="str">
        <f>"AA007063795"</f>
        <v>AA007063795</v>
      </c>
      <c r="B200" t="str">
        <f>"A1-賴世國住宅增建工程"</f>
        <v>A1-賴世國住宅增建工程</v>
      </c>
      <c r="C200" t="str">
        <f>"(106)嘉新鄉建字第00132號"</f>
        <v>(106)嘉新鄉建字第00132號</v>
      </c>
      <c r="D200" t="str">
        <f>"108/11/06"</f>
        <v>108/11/06</v>
      </c>
      <c r="E200" t="str">
        <f>"2019/11/6 上午 12:00:00"</f>
        <v>2019/11/6 上午 12:00:00</v>
      </c>
      <c r="F200" t="str">
        <f>"A1"</f>
        <v>A1</v>
      </c>
    </row>
    <row r="201" spans="1:6" ht="16.5">
      <c r="A201" t="str">
        <f>"AA007064013"</f>
        <v>AA007064013</v>
      </c>
      <c r="B201" t="str">
        <f>"A1-金磊建設劉厝段11戶店舖、住宅新建工程"</f>
        <v>A1-金磊建設劉厝段11戶店舖、住宅新建工程</v>
      </c>
      <c r="C201" t="str">
        <f>"107嘉市府都建執字第0059-0069號"</f>
        <v>107嘉市府都建執字第0059-0069號</v>
      </c>
      <c r="D201" t="str">
        <f>"108/11/18"</f>
        <v>108/11/18</v>
      </c>
      <c r="E201" t="str">
        <f>"2019/11/14 上午 12:00:00"</f>
        <v>2019/11/14 上午 12:00:00</v>
      </c>
      <c r="F201" t="str">
        <f>"A1"</f>
        <v>A1</v>
      </c>
    </row>
    <row r="202" spans="1:6" ht="16.5">
      <c r="A202" t="str">
        <f>"AA007064029"</f>
        <v>AA007064029</v>
      </c>
      <c r="B202" t="str">
        <f>"A1-金磊建設劉厝段13戶住宅新建工程"</f>
        <v>A1-金磊建設劉厝段13戶住宅新建工程</v>
      </c>
      <c r="C202" t="str">
        <f>"107嘉市府都建執字 第0070-0072-0074~0084號"</f>
        <v>107嘉市府都建執字 第0070-0072-0074~0084號</v>
      </c>
      <c r="D202" t="str">
        <f>"108/11/19"</f>
        <v>108/11/19</v>
      </c>
      <c r="E202" t="str">
        <f>"2019/11/14 上午 12:00:00"</f>
        <v>2019/11/14 上午 12:00:00</v>
      </c>
      <c r="F202" t="str">
        <f>"A1"</f>
        <v>A1</v>
      </c>
    </row>
    <row r="203" spans="1:6" ht="16.5">
      <c r="A203" t="str">
        <f>"AA007065820"</f>
        <v>AA007065820</v>
      </c>
      <c r="B203" t="str">
        <f>"台南市安定區安定國民小學教室(3F×1) "</f>
        <v>台南市安定區安定國民小學教室(3F×1) </v>
      </c>
      <c r="C203" t="str">
        <f>"(107)南工造字第01381號"</f>
        <v>(107)南工造字第01381號</v>
      </c>
      <c r="D203" t="str">
        <f>"108/11/04"</f>
        <v>108/11/04</v>
      </c>
      <c r="E203" t="str">
        <f>"2019/11/1 上午 12:00:00"</f>
        <v>2019/11/1 上午 12:00:00</v>
      </c>
      <c r="F203" t="s">
        <v>6</v>
      </c>
    </row>
    <row r="204" spans="1:6" ht="16.5">
      <c r="A204" t="str">
        <f>"AA007065859"</f>
        <v>AA007065859</v>
      </c>
      <c r="B204" t="str">
        <f>"C1-台南市白河區內角國民小學增建(3F×1)"</f>
        <v>C1-台南市白河區內角國民小學增建(3F×1)</v>
      </c>
      <c r="C204" t="str">
        <f>"(107)南工造字第01509號"</f>
        <v>(107)南工造字第01509號</v>
      </c>
      <c r="D204" t="str">
        <f>"108/11/19"</f>
        <v>108/11/19</v>
      </c>
      <c r="E204" t="str">
        <f>"2019/11/12 上午 12:00:00"</f>
        <v>2019/11/12 上午 12:00:00</v>
      </c>
      <c r="F204" t="s">
        <v>6</v>
      </c>
    </row>
    <row r="205" spans="1:6" ht="16.5">
      <c r="A205" t="str">
        <f>"AA007066623"</f>
        <v>AA007066623</v>
      </c>
      <c r="B205" t="str">
        <f>"許素娥新林611住宅新建工程"</f>
        <v>許素娥新林611住宅新建工程</v>
      </c>
      <c r="C205" t="str">
        <f>"107林建字第00113號"</f>
        <v>107林建字第00113號</v>
      </c>
      <c r="D205" t="str">
        <f>"108/11/04"</f>
        <v>108/11/04</v>
      </c>
      <c r="E205" t="str">
        <f>"2019/10/21 上午 12:00:00"</f>
        <v>2019/10/21 上午 12:00:00</v>
      </c>
      <c r="F205" t="s">
        <v>7</v>
      </c>
    </row>
    <row r="206" spans="1:6" ht="16.5">
      <c r="A206" t="str">
        <f>"AA007066679"</f>
        <v>AA007066679</v>
      </c>
      <c r="B206" t="str">
        <f>"C1 忠興織造廠股份有限公司辦公室新建工程"</f>
        <v>C1 忠興織造廠股份有限公司辦公室新建工程</v>
      </c>
      <c r="C206" t="str">
        <f>"107中都建字第00465號"</f>
        <v>107中都建字第00465號</v>
      </c>
      <c r="D206" t="str">
        <f>"108/11/28"</f>
        <v>108/11/28</v>
      </c>
      <c r="E206" t="str">
        <f>"2019/11/22 上午 12:00:00"</f>
        <v>2019/11/22 上午 12:00:00</v>
      </c>
      <c r="F206" t="str">
        <f>"C1"</f>
        <v>C1</v>
      </c>
    </row>
    <row r="207" spans="1:6" ht="16.5">
      <c r="A207" t="str">
        <f>"AA007067443"</f>
        <v>AA007067443</v>
      </c>
      <c r="B207" t="str">
        <f>"楊熙仁桃園市桃園區法政段住宅新建工程"</f>
        <v>楊熙仁桃園市桃園區法政段住宅新建工程</v>
      </c>
      <c r="C207" t="str">
        <f>"(107)桃市都建執照字第會桃00288號"</f>
        <v>(107)桃市都建執照字第會桃00288號</v>
      </c>
      <c r="D207" t="str">
        <f>"108/11/22"</f>
        <v>108/11/22</v>
      </c>
      <c r="E207" t="str">
        <f>"2019/11/19 上午 12:00:00"</f>
        <v>2019/11/19 上午 12:00:00</v>
      </c>
      <c r="F207" t="s">
        <v>9</v>
      </c>
    </row>
    <row r="208" spans="1:6" ht="16.5">
      <c r="A208" t="str">
        <f>"AA007068795"</f>
        <v>AA007068795</v>
      </c>
      <c r="B208" t="str">
        <f>"A1-林月霞住宅變更設計工程"</f>
        <v>A1-林月霞住宅變更設計工程</v>
      </c>
      <c r="C208" t="str">
        <f>"107雲營建字第00117號"</f>
        <v>107雲營建字第00117號</v>
      </c>
      <c r="D208" t="str">
        <f>"108/11/11"</f>
        <v>108/11/11</v>
      </c>
      <c r="E208" t="str">
        <f>"2019/11/11 上午 12:00:00"</f>
        <v>2019/11/11 上午 12:00:00</v>
      </c>
      <c r="F208" t="str">
        <f>"A1"</f>
        <v>A1</v>
      </c>
    </row>
    <row r="209" spans="1:6" ht="16.5">
      <c r="A209" t="str">
        <f>"AA007069353"</f>
        <v>AA007069353</v>
      </c>
      <c r="B209" t="str">
        <f>"B1大沁企業股份有限公司飲食店.店舖.診所新建工程"</f>
        <v>B1大沁企業股份有限公司飲食店.店舖.診所新建工程</v>
      </c>
      <c r="C209" t="str">
        <f>"107中都建字第00974號"</f>
        <v>107中都建字第00974號</v>
      </c>
      <c r="D209" t="str">
        <f>"108/11/26"</f>
        <v>108/11/26</v>
      </c>
      <c r="E209" t="str">
        <f>"2019/11/22 上午 12:00:00"</f>
        <v>2019/11/22 上午 12:00:00</v>
      </c>
      <c r="F209" t="str">
        <f>"B1"</f>
        <v>B1</v>
      </c>
    </row>
    <row r="210" spans="1:6" ht="16.5">
      <c r="A210" t="str">
        <f>"AA007069550"</f>
        <v>AA007069550</v>
      </c>
      <c r="B210" t="str">
        <f>"莊明霖(5F×1) 住宅"</f>
        <v>莊明霖(5F×1) 住宅</v>
      </c>
      <c r="C210" t="str">
        <f>"(107)南工造字第01617號"</f>
        <v>(107)南工造字第01617號</v>
      </c>
      <c r="D210" t="str">
        <f>"108/11/13"</f>
        <v>108/11/13</v>
      </c>
      <c r="E210" t="str">
        <f>"2019/11/13 上午 12:00:00"</f>
        <v>2019/11/13 上午 12:00:00</v>
      </c>
      <c r="F210" t="str">
        <f>"A1"</f>
        <v>A1</v>
      </c>
    </row>
    <row r="211" spans="1:6" ht="16.5">
      <c r="A211" t="str">
        <f>"AA007070078"</f>
        <v>AA007070078</v>
      </c>
      <c r="B211" t="str">
        <f>"成宇澄合24戶住宅新建工程"</f>
        <v>成宇澄合24戶住宅新建工程</v>
      </c>
      <c r="C211" t="str">
        <f>"(107)高市工建築字第00708~00717號"</f>
        <v>(107)高市工建築字第00708~00717號</v>
      </c>
      <c r="D211" t="str">
        <f>"108/11/18"</f>
        <v>108/11/18</v>
      </c>
      <c r="E211" t="str">
        <f>"2019/11/13 上午 12:00:00"</f>
        <v>2019/11/13 上午 12:00:00</v>
      </c>
      <c r="F211" t="s">
        <v>31</v>
      </c>
    </row>
    <row r="212" spans="1:6" ht="16.5">
      <c r="A212" t="str">
        <f>"AA007070168"</f>
        <v>AA007070168</v>
      </c>
      <c r="B212" t="str">
        <f>"C1 煜柏精密企業社倉庫新建工程"</f>
        <v>C1 煜柏精密企業社倉庫新建工程</v>
      </c>
      <c r="C212" t="str">
        <f>"107中都建字第00966號"</f>
        <v>107中都建字第00966號</v>
      </c>
      <c r="D212" t="str">
        <f>"108/11/06"</f>
        <v>108/11/06</v>
      </c>
      <c r="E212" t="str">
        <f>"2019/11/4 上午 12:00:00"</f>
        <v>2019/11/4 上午 12:00:00</v>
      </c>
      <c r="F212" t="str">
        <f>"C1"</f>
        <v>C1</v>
      </c>
    </row>
    <row r="213" spans="1:6" ht="16.5">
      <c r="A213" t="str">
        <f>"AA007071443"</f>
        <v>AA007071443</v>
      </c>
      <c r="B213" t="str">
        <f>"峰泰置地 龍潭區潛龍段513地號透天住宅新建工程"</f>
        <v>峰泰置地 龍潭區潛龍段513地號透天住宅新建工程</v>
      </c>
      <c r="C213" t="str">
        <f>"(107)桃市都建執照字第會龍00252號"</f>
        <v>(107)桃市都建執照字第會龍00252號</v>
      </c>
      <c r="D213" t="str">
        <f>"108/11/12"</f>
        <v>108/11/12</v>
      </c>
      <c r="E213" t="str">
        <f>"2019/11/12 上午 12:00:00"</f>
        <v>2019/11/12 上午 12:00:00</v>
      </c>
      <c r="F213" t="str">
        <f>"A1"</f>
        <v>A1</v>
      </c>
    </row>
    <row r="214" spans="1:6" ht="16.5">
      <c r="A214" t="str">
        <f>"AA007071460"</f>
        <v>AA007071460</v>
      </c>
      <c r="B214" t="str">
        <f>"峰泰置地 龍潭區潛龍段472地號集合住宅新建工程"</f>
        <v>峰泰置地 龍潭區潛龍段472地號集合住宅新建工程</v>
      </c>
      <c r="C214" t="str">
        <f>"(107)桃市都建執照字第會龍00247號"</f>
        <v>(107)桃市都建執照字第會龍00247號</v>
      </c>
      <c r="D214" t="str">
        <f>"108/11/14"</f>
        <v>108/11/14</v>
      </c>
      <c r="E214" t="str">
        <f>"2019/11/12 上午 12:00:00"</f>
        <v>2019/11/12 上午 12:00:00</v>
      </c>
      <c r="F214" t="str">
        <f>"B1"</f>
        <v>B1</v>
      </c>
    </row>
    <row r="215" spans="1:6" ht="16.5">
      <c r="A215" t="str">
        <f>"AA007071891"</f>
        <v>AA007071891</v>
      </c>
      <c r="B215" t="str">
        <f>"全閎建設有限公司保安段店鋪住宅新建工程"</f>
        <v>全閎建設有限公司保安段店鋪住宅新建工程</v>
      </c>
      <c r="C215" t="str">
        <f>"(107)高市工建築字第00835~00837號"</f>
        <v>(107)高市工建築字第00835~00837號</v>
      </c>
      <c r="D215" t="str">
        <f>"108/11/11"</f>
        <v>108/11/11</v>
      </c>
      <c r="E215" t="str">
        <f>"2019/11/6 上午 12:00:00"</f>
        <v>2019/11/6 上午 12:00:00</v>
      </c>
      <c r="F215" t="str">
        <f>"A1"</f>
        <v>A1</v>
      </c>
    </row>
    <row r="216" spans="1:6" ht="16.5">
      <c r="A216" t="str">
        <f>"AA007072292"</f>
        <v>AA007072292</v>
      </c>
      <c r="B216" t="s">
        <v>32</v>
      </c>
      <c r="C216" t="str">
        <f>"(107)府工建字第00095號"</f>
        <v>(107)府工建字第00095號</v>
      </c>
      <c r="D216" t="str">
        <f>"108/11/29"</f>
        <v>108/11/29</v>
      </c>
      <c r="E216" t="str">
        <f>"2019/11/29 上午 12:00:00"</f>
        <v>2019/11/29 上午 12:00:00</v>
      </c>
      <c r="F216" t="str">
        <f>"B1"</f>
        <v>B1</v>
      </c>
    </row>
    <row r="217" spans="1:6" ht="16.5">
      <c r="A217" t="str">
        <f>"AA007072428"</f>
        <v>AA007072428</v>
      </c>
      <c r="B217" t="str">
        <f>"B1景泰昌建設(股)公司住宅新建工程"</f>
        <v>B1景泰昌建設(股)公司住宅新建工程</v>
      </c>
      <c r="C217" t="str">
        <f>"107中都建字第979號"</f>
        <v>107中都建字第979號</v>
      </c>
      <c r="D217" t="str">
        <f>"108/11/01"</f>
        <v>108/11/01</v>
      </c>
      <c r="E217" t="str">
        <f>"2019/10/30 上午 12:00:00"</f>
        <v>2019/10/30 上午 12:00:00</v>
      </c>
      <c r="F217" t="s">
        <v>9</v>
      </c>
    </row>
    <row r="218" spans="1:6" ht="16.5">
      <c r="A218" t="str">
        <f>"AA007072593"</f>
        <v>AA007072593</v>
      </c>
      <c r="B218" t="str">
        <f>"宏森燕西16戶住宅新建"</f>
        <v>宏森燕西16戶住宅新建</v>
      </c>
      <c r="C218" t="str">
        <f>"(107)高市工建築字第00803~00818號"</f>
        <v>(107)高市工建築字第00803~00818號</v>
      </c>
      <c r="D218" t="str">
        <f>"108/11/08"</f>
        <v>108/11/08</v>
      </c>
      <c r="E218" t="str">
        <f>"2019/11/6 上午 12:00:00"</f>
        <v>2019/11/6 上午 12:00:00</v>
      </c>
      <c r="F218" t="str">
        <f>"A1"</f>
        <v>A1</v>
      </c>
    </row>
    <row r="219" spans="1:6" ht="16.5">
      <c r="A219" t="str">
        <f>"AA007072755"</f>
        <v>AA007072755</v>
      </c>
      <c r="B219" t="str">
        <f>"A1、A2承品建設德安段住宅新建工程"</f>
        <v>A1、A2承品建設德安段住宅新建工程</v>
      </c>
      <c r="C219" t="str">
        <f>"花建執照字第106A0222號"</f>
        <v>花建執照字第106A0222號</v>
      </c>
      <c r="D219" t="str">
        <f>"108/11/07"</f>
        <v>108/11/07</v>
      </c>
      <c r="E219" t="str">
        <f>"2019/11/5 上午 12:00:00"</f>
        <v>2019/11/5 上午 12:00:00</v>
      </c>
      <c r="F219" t="s">
        <v>7</v>
      </c>
    </row>
    <row r="220" spans="1:6" ht="16.5">
      <c r="A220" t="str">
        <f>"AA007074248"</f>
        <v>AA007074248</v>
      </c>
      <c r="B220" t="str">
        <f>"上晉金屬樹林廠房新建工程"</f>
        <v>上晉金屬樹林廠房新建工程</v>
      </c>
      <c r="C220" t="str">
        <f>"105樹建字第00340號"</f>
        <v>105樹建字第00340號</v>
      </c>
      <c r="D220" t="str">
        <f>"108/11/04"</f>
        <v>108/11/04</v>
      </c>
      <c r="E220" t="str">
        <f>"2019/10/22 上午 12:00:00"</f>
        <v>2019/10/22 上午 12:00:00</v>
      </c>
      <c r="F220" t="s">
        <v>6</v>
      </c>
    </row>
    <row r="221" spans="1:6" ht="16.5">
      <c r="A221" t="str">
        <f>"AA007074485"</f>
        <v>AA007074485</v>
      </c>
      <c r="B221" t="str">
        <f>"澍陽建設透天住宅等六戶新建工程"</f>
        <v>澍陽建設透天住宅等六戶新建工程</v>
      </c>
      <c r="C221" t="str">
        <f>"(107)高市工建築字第00640~00645號"</f>
        <v>(107)高市工建築字第00640~00645號</v>
      </c>
      <c r="D221" t="str">
        <f>"108/11/26"</f>
        <v>108/11/26</v>
      </c>
      <c r="E221" t="str">
        <f>"2019/11/19 上午 12:00:00"</f>
        <v>2019/11/19 上午 12:00:00</v>
      </c>
      <c r="F221" t="str">
        <f>"A1"</f>
        <v>A1</v>
      </c>
    </row>
    <row r="222" spans="1:6" ht="16.5">
      <c r="A222" t="str">
        <f>"AA007075158"</f>
        <v>AA007075158</v>
      </c>
      <c r="B222" t="str">
        <f>"林國彥-住宅新建工程"</f>
        <v>林國彥-住宅新建工程</v>
      </c>
      <c r="C222" t="str">
        <f>"(107)(麥)鄉營建字第00053號"</f>
        <v>(107)(麥)鄉營建字第00053號</v>
      </c>
      <c r="D222" t="str">
        <f>"108/11/13"</f>
        <v>108/11/13</v>
      </c>
      <c r="E222" t="str">
        <f>"2019/11/13 上午 12:00:00"</f>
        <v>2019/11/13 上午 12:00:00</v>
      </c>
      <c r="F222" t="str">
        <f>"A1"</f>
        <v>A1</v>
      </c>
    </row>
    <row r="223" spans="1:6" ht="16.5">
      <c r="A223" t="str">
        <f>"AA007075969"</f>
        <v>AA007075969</v>
      </c>
      <c r="B223" t="str">
        <f>"A1-管國芬住宅新建工程"</f>
        <v>A1-管國芬住宅新建工程</v>
      </c>
      <c r="C223" t="str">
        <f>"(107)嘉府經管執字第00041號"</f>
        <v>(107)嘉府經管執字第00041號</v>
      </c>
      <c r="D223" t="str">
        <f>"108/11/06"</f>
        <v>108/11/06</v>
      </c>
      <c r="E223" t="str">
        <f>"2019/11/6 上午 12:00:00"</f>
        <v>2019/11/6 上午 12:00:00</v>
      </c>
      <c r="F223" t="str">
        <f>"A1"</f>
        <v>A1</v>
      </c>
    </row>
    <row r="224" spans="1:6" ht="16.5">
      <c r="A224" t="str">
        <f>"AA007076029"</f>
        <v>AA007076029</v>
      </c>
      <c r="B224" t="str">
        <f>"B1x2 賴珮瑩等二人店鋪新建工程"</f>
        <v>B1x2 賴珮瑩等二人店鋪新建工程</v>
      </c>
      <c r="C224" t="str">
        <f>"107中都建字第00395-00396號"</f>
        <v>107中都建字第00395-00396號</v>
      </c>
      <c r="D224" t="str">
        <f>"108/11/02"</f>
        <v>108/11/02</v>
      </c>
      <c r="E224" t="str">
        <f>"2019/11/1 上午 12:00:00"</f>
        <v>2019/11/1 上午 12:00:00</v>
      </c>
      <c r="F224" t="str">
        <f>"B1"</f>
        <v>B1</v>
      </c>
    </row>
    <row r="225" spans="1:6" ht="16.5">
      <c r="A225" t="str">
        <f>"AA007076126"</f>
        <v>AA007076126</v>
      </c>
      <c r="B225" t="str">
        <f>"震東建設員山鄉水源段住宅新建工程"</f>
        <v>震東建設員山鄉水源段住宅新建工程</v>
      </c>
      <c r="C225" t="str">
        <f>"106.10.26建管建字第00605~00616號"</f>
        <v>106.10.26建管建字第00605~00616號</v>
      </c>
      <c r="D225" t="str">
        <f>"108/11/06"</f>
        <v>108/11/06</v>
      </c>
      <c r="E225" t="str">
        <f>"2019/11/5 上午 12:00:00"</f>
        <v>2019/11/5 上午 12:00:00</v>
      </c>
      <c r="F225" t="str">
        <f aca="true" t="shared" si="3" ref="F225:F231">"A1"</f>
        <v>A1</v>
      </c>
    </row>
    <row r="226" spans="1:6" ht="16.5">
      <c r="A226" t="str">
        <f>"AA007076221"</f>
        <v>AA007076221</v>
      </c>
      <c r="B226" t="str">
        <f>"A1-何秋煌住宅整建工程"</f>
        <v>A1-何秋煌住宅整建工程</v>
      </c>
      <c r="C226" t="str">
        <f>"(107)嘉民鄉建整字第0001號 "</f>
        <v>(107)嘉民鄉建整字第0001號 </v>
      </c>
      <c r="D226" t="str">
        <f>"108/11/07"</f>
        <v>108/11/07</v>
      </c>
      <c r="E226" t="str">
        <f>"2019/11/7 上午 12:00:00"</f>
        <v>2019/11/7 上午 12:00:00</v>
      </c>
      <c r="F226" t="str">
        <f t="shared" si="3"/>
        <v>A1</v>
      </c>
    </row>
    <row r="227" spans="1:6" ht="16.5">
      <c r="A227" t="str">
        <f>"AA007076324"</f>
        <v>AA007076324</v>
      </c>
      <c r="B227" t="str">
        <f>"A1-吳盈宏吳松岳住宅新建工程"</f>
        <v>A1-吳盈宏吳松岳住宅新建工程</v>
      </c>
      <c r="C227" t="str">
        <f>"(106)嘉大鎮建字第00034-01號"</f>
        <v>(106)嘉大鎮建字第00034-01號</v>
      </c>
      <c r="D227" t="str">
        <f>"108/11/26"</f>
        <v>108/11/26</v>
      </c>
      <c r="E227" t="str">
        <f>"2019/11/26 上午 12:00:00"</f>
        <v>2019/11/26 上午 12:00:00</v>
      </c>
      <c r="F227" t="str">
        <f t="shared" si="3"/>
        <v>A1</v>
      </c>
    </row>
    <row r="228" spans="1:6" ht="16.5">
      <c r="A228" t="str">
        <f>"AA007076910"</f>
        <v>AA007076910</v>
      </c>
      <c r="B228" t="str">
        <f>"日大建設事業股份有限公司 (高雄厝)住宅新建工程"</f>
        <v>日大建設事業股份有限公司 (高雄厝)住宅新建工程</v>
      </c>
      <c r="C228" t="str">
        <f>"(107)高市工建築字第    01075~01079號"</f>
        <v>(107)高市工建築字第    01075~01079號</v>
      </c>
      <c r="D228" t="str">
        <f>"108/11/11"</f>
        <v>108/11/11</v>
      </c>
      <c r="E228" t="str">
        <f>"2019/11/5 上午 12:00:00"</f>
        <v>2019/11/5 上午 12:00:00</v>
      </c>
      <c r="F228" t="str">
        <f t="shared" si="3"/>
        <v>A1</v>
      </c>
    </row>
    <row r="229" spans="1:6" ht="16.5">
      <c r="A229" t="str">
        <f>"AA007077863"</f>
        <v>AA007077863</v>
      </c>
      <c r="B229" t="str">
        <f>"岩顏秀枝3FX1戶住宅新建工程"</f>
        <v>岩顏秀枝3FX1戶住宅新建工程</v>
      </c>
      <c r="C229" t="str">
        <f>"(107)南工造字第01046號"</f>
        <v>(107)南工造字第01046號</v>
      </c>
      <c r="D229" t="str">
        <f>"108/11/06"</f>
        <v>108/11/06</v>
      </c>
      <c r="E229" t="str">
        <f>"2019/11/6 上午 12:00:00"</f>
        <v>2019/11/6 上午 12:00:00</v>
      </c>
      <c r="F229" t="str">
        <f t="shared" si="3"/>
        <v>A1</v>
      </c>
    </row>
    <row r="230" spans="1:6" ht="16.5">
      <c r="A230" t="str">
        <f>"AA007078168"</f>
        <v>AA007078168</v>
      </c>
      <c r="B230" t="str">
        <f>"顏春鴻(3Fx1戶)住宅"</f>
        <v>顏春鴻(3Fx1戶)住宅</v>
      </c>
      <c r="C230" t="str">
        <f>"(107)南工造字第01748號"</f>
        <v>(107)南工造字第01748號</v>
      </c>
      <c r="D230" t="str">
        <f>"108/11/11"</f>
        <v>108/11/11</v>
      </c>
      <c r="E230" t="str">
        <f>"2019/11/11 上午 12:00:00"</f>
        <v>2019/11/11 上午 12:00:00</v>
      </c>
      <c r="F230" t="str">
        <f t="shared" si="3"/>
        <v>A1</v>
      </c>
    </row>
    <row r="231" spans="1:6" ht="16.5">
      <c r="A231" t="str">
        <f>"AA007080041"</f>
        <v>AA007080041</v>
      </c>
      <c r="B231" t="str">
        <f>"A1-郭東昇大林鎮二戶住宅新建工程"</f>
        <v>A1-郭東昇大林鎮二戶住宅新建工程</v>
      </c>
      <c r="C231" t="str">
        <f>"(107)嘉大鎮建字第00007、00008號"</f>
        <v>(107)嘉大鎮建字第00007、00008號</v>
      </c>
      <c r="D231" t="str">
        <f>"108/11/26"</f>
        <v>108/11/26</v>
      </c>
      <c r="E231" t="str">
        <f>"2019/11/26 上午 12:00:00"</f>
        <v>2019/11/26 上午 12:00:00</v>
      </c>
      <c r="F231" t="str">
        <f t="shared" si="3"/>
        <v>A1</v>
      </c>
    </row>
    <row r="232" spans="1:6" ht="16.5">
      <c r="A232" t="str">
        <f>"AA007080090"</f>
        <v>AA007080090</v>
      </c>
      <c r="B232" t="s">
        <v>33</v>
      </c>
      <c r="C232" t="str">
        <f>"106汐建字第00374號"</f>
        <v>106汐建字第00374號</v>
      </c>
      <c r="D232" t="str">
        <f>"108/11/12"</f>
        <v>108/11/12</v>
      </c>
      <c r="E232" t="str">
        <f>"2019/10/16 上午 12:00:00"</f>
        <v>2019/10/16 上午 12:00:00</v>
      </c>
      <c r="F232" t="s">
        <v>10</v>
      </c>
    </row>
    <row r="233" spans="1:6" ht="16.5">
      <c r="A233" t="str">
        <f>"AA007080158"</f>
        <v>AA007080158</v>
      </c>
      <c r="B233" t="s">
        <v>34</v>
      </c>
      <c r="C233" t="str">
        <f>"106汐建字第000286號"</f>
        <v>106汐建字第000286號</v>
      </c>
      <c r="D233" t="str">
        <f>"108/11/12"</f>
        <v>108/11/12</v>
      </c>
      <c r="E233" t="str">
        <f>"2019/10/16 上午 12:00:00"</f>
        <v>2019/10/16 上午 12:00:00</v>
      </c>
      <c r="F233" t="s">
        <v>10</v>
      </c>
    </row>
    <row r="234" spans="1:6" ht="16.5">
      <c r="A234" t="str">
        <f>"AA007080773"</f>
        <v>AA007080773</v>
      </c>
      <c r="B234" t="str">
        <f>"A1-安捷建設3戶住宅新建工程"</f>
        <v>A1-安捷建設3戶住宅新建工程</v>
      </c>
      <c r="C234" t="str">
        <f>"(107)嘉民鄉執字第00121~123號"</f>
        <v>(107)嘉民鄉執字第00121~123號</v>
      </c>
      <c r="D234" t="str">
        <f>"108/11/26"</f>
        <v>108/11/26</v>
      </c>
      <c r="E234" t="str">
        <f>"2019/11/26 上午 12:00:00"</f>
        <v>2019/11/26 上午 12:00:00</v>
      </c>
      <c r="F234" t="str">
        <f>"A1"</f>
        <v>A1</v>
      </c>
    </row>
    <row r="235" spans="1:6" ht="16.5">
      <c r="A235" t="str">
        <f>"AA007080845"</f>
        <v>AA007080845</v>
      </c>
      <c r="B235" t="str">
        <f>"A1-祥輔建設大溪段5戶住宅新建工程"</f>
        <v>A1-祥輔建設大溪段5戶住宅新建工程</v>
      </c>
      <c r="C235" t="str">
        <f>"A 107 嘉市府都建執字第0000182~0000185號"</f>
        <v>A 107 嘉市府都建執字第0000182~0000185號</v>
      </c>
      <c r="D235" t="str">
        <f>"108/11/18"</f>
        <v>108/11/18</v>
      </c>
      <c r="E235" t="str">
        <f>"2019/11/15 上午 12:00:00"</f>
        <v>2019/11/15 上午 12:00:00</v>
      </c>
      <c r="F235" t="str">
        <f>"A1"</f>
        <v>A1</v>
      </c>
    </row>
    <row r="236" spans="1:6" ht="16.5">
      <c r="A236" t="str">
        <f>"AA007081090"</f>
        <v>AA007081090</v>
      </c>
      <c r="B236" t="str">
        <f>"桃園市中壢區青昇段集合住宅新建工程"</f>
        <v>桃園市中壢區青昇段集合住宅新建工程</v>
      </c>
      <c r="C236" t="str">
        <f>"(107)桃市都建執照字第會壢000428號"</f>
        <v>(107)桃市都建執照字第會壢000428號</v>
      </c>
      <c r="D236" t="str">
        <f>"108/11/23"</f>
        <v>108/11/23</v>
      </c>
      <c r="E236" t="str">
        <f>"2019/11/18 上午 12:00:00"</f>
        <v>2019/11/18 上午 12:00:00</v>
      </c>
      <c r="F236" t="s">
        <v>10</v>
      </c>
    </row>
    <row r="237" spans="1:6" ht="16.5">
      <c r="A237" t="str">
        <f>"AA007081533"</f>
        <v>AA007081533</v>
      </c>
      <c r="B237" t="str">
        <f>"謝馨瑩、通展建設有限公司等5人12戶 住宅新建工程"</f>
        <v>謝馨瑩、通展建設有限公司等5人12戶 住宅新建工程</v>
      </c>
      <c r="C237" t="str">
        <f>"(107)高市工建築字第00892~00903號"</f>
        <v>(107)高市工建築字第00892~00903號</v>
      </c>
      <c r="D237" t="str">
        <f>"108/11/22"</f>
        <v>108/11/22</v>
      </c>
      <c r="E237" t="str">
        <f>"2019/11/18 上午 12:00:00"</f>
        <v>2019/11/18 上午 12:00:00</v>
      </c>
      <c r="F237" t="str">
        <f>"A1"</f>
        <v>A1</v>
      </c>
    </row>
    <row r="238" spans="1:6" ht="16.5">
      <c r="A238" t="str">
        <f>"AA007083998"</f>
        <v>AA007083998</v>
      </c>
      <c r="B238" t="str">
        <f>"B1 宏洋精密工業有限公司廠房.住宅新建工程"</f>
        <v>B1 宏洋精密工業有限公司廠房.住宅新建工程</v>
      </c>
      <c r="C238" t="str">
        <f>"(107)府建管(建)字第0143442號"</f>
        <v>(107)府建管(建)字第0143442號</v>
      </c>
      <c r="D238" t="str">
        <f>"108/11/05"</f>
        <v>108/11/05</v>
      </c>
      <c r="E238" t="str">
        <f>"2019/11/1 上午 12:00:00"</f>
        <v>2019/11/1 上午 12:00:00</v>
      </c>
      <c r="F238" t="str">
        <f>"B1"</f>
        <v>B1</v>
      </c>
    </row>
    <row r="239" spans="1:6" ht="16.5">
      <c r="A239" t="str">
        <f>"AA007084540"</f>
        <v>AA007084540</v>
      </c>
      <c r="B239" t="str">
        <f>"天外天國際渡假旅館新建工程(管理棟)"</f>
        <v>天外天國際渡假旅館新建工程(管理棟)</v>
      </c>
      <c r="C239" t="str">
        <f>"(106)(9)(15)建管建字第00515號"</f>
        <v>(106)(9)(15)建管建字第00515號</v>
      </c>
      <c r="D239" t="str">
        <f>"108/11/18"</f>
        <v>108/11/18</v>
      </c>
      <c r="E239" t="str">
        <f>"2019/11/4 上午 12:00:00"</f>
        <v>2019/11/4 上午 12:00:00</v>
      </c>
      <c r="F239" t="s">
        <v>6</v>
      </c>
    </row>
    <row r="240" spans="1:6" ht="16.5">
      <c r="A240" t="str">
        <f>"AA007084998"</f>
        <v>AA007084998</v>
      </c>
      <c r="B240" t="str">
        <f>"C1 張志強健身房.辦公室新建工程"</f>
        <v>C1 張志強健身房.辦公室新建工程</v>
      </c>
      <c r="C240" t="str">
        <f>"107中都建字第01169號"</f>
        <v>107中都建字第01169號</v>
      </c>
      <c r="D240" t="str">
        <f>"108/11/05"</f>
        <v>108/11/05</v>
      </c>
      <c r="E240" t="str">
        <f>"2019/11/4 上午 12:00:00"</f>
        <v>2019/11/4 上午 12:00:00</v>
      </c>
      <c r="F240" t="str">
        <f>"C1"</f>
        <v>C1</v>
      </c>
    </row>
    <row r="241" spans="1:6" ht="16.5">
      <c r="A241" t="str">
        <f>"AA007085803"</f>
        <v>AA007085803</v>
      </c>
      <c r="B241" t="str">
        <f>"黃松輝(1Fx1戶)新建店鋪"</f>
        <v>黃松輝(1Fx1戶)新建店鋪</v>
      </c>
      <c r="C241" t="str">
        <f>"(106)南工造字第03476號"</f>
        <v>(106)南工造字第03476號</v>
      </c>
      <c r="D241" t="str">
        <f>"108/11/18"</f>
        <v>108/11/18</v>
      </c>
      <c r="E241" t="str">
        <f>"2019/11/18 上午 12:00:00"</f>
        <v>2019/11/18 上午 12:00:00</v>
      </c>
      <c r="F241" t="str">
        <f>"B1"</f>
        <v>B1</v>
      </c>
    </row>
    <row r="242" spans="1:6" ht="16.5">
      <c r="A242" t="str">
        <f>"AA007086773"</f>
        <v>AA007086773</v>
      </c>
      <c r="B242" t="str">
        <f>"吳昇峰(5Fx1戶)住宅"</f>
        <v>吳昇峰(5Fx1戶)住宅</v>
      </c>
      <c r="C242" t="str">
        <f>"(107)南工造字第02057號"</f>
        <v>(107)南工造字第02057號</v>
      </c>
      <c r="D242" t="str">
        <f>"108/11/06"</f>
        <v>108/11/06</v>
      </c>
      <c r="E242" t="str">
        <f>"2019/11/6 上午 12:00:00"</f>
        <v>2019/11/6 上午 12:00:00</v>
      </c>
      <c r="F242" t="str">
        <f>"A1"</f>
        <v>A1</v>
      </c>
    </row>
    <row r="243" spans="1:6" ht="16.5">
      <c r="A243" t="str">
        <f>"AA007087550"</f>
        <v>AA007087550</v>
      </c>
      <c r="B243" t="str">
        <f>"B1 蕭錦等廠房新建工程"</f>
        <v>B1 蕭錦等廠房新建工程</v>
      </c>
      <c r="C243" t="str">
        <f>"107股建字第00134號"</f>
        <v>107股建字第00134號</v>
      </c>
      <c r="D243" t="str">
        <f>"108/11/18"</f>
        <v>108/11/18</v>
      </c>
      <c r="E243" t="str">
        <f>"2019/11/14 上午 12:00:00"</f>
        <v>2019/11/14 上午 12:00:00</v>
      </c>
      <c r="F243" t="s">
        <v>9</v>
      </c>
    </row>
    <row r="244" spans="1:6" ht="16.5">
      <c r="A244" t="str">
        <f>"AA007088013"</f>
        <v>AA007088013</v>
      </c>
      <c r="B244" t="str">
        <f>"統昱投資股份有限公司負責人:陳文昱三民區大裕段一小段96地號住宅新建工程"</f>
        <v>統昱投資股份有限公司負責人:陳文昱三民區大裕段一小段96地號住宅新建工程</v>
      </c>
      <c r="C244" t="str">
        <f>"(107)高市工建築字第01169號"</f>
        <v>(107)高市工建築字第01169號</v>
      </c>
      <c r="D244" t="str">
        <f>"108/11/29"</f>
        <v>108/11/29</v>
      </c>
      <c r="E244" t="str">
        <f>"2019/11/29 上午 12:00:00"</f>
        <v>2019/11/29 上午 12:00:00</v>
      </c>
      <c r="F244" t="s">
        <v>6</v>
      </c>
    </row>
    <row r="245" spans="1:6" ht="16.5">
      <c r="A245" t="str">
        <f>"AA007088789"</f>
        <v>AA007088789</v>
      </c>
      <c r="B245" t="str">
        <f>"易太建設事業有限公司住宅新建"</f>
        <v>易太建設事業有限公司住宅新建</v>
      </c>
      <c r="C245" t="str">
        <f>"107府建字第00171號"</f>
        <v>107府建字第00171號</v>
      </c>
      <c r="D245" t="str">
        <f>"108/11/18"</f>
        <v>108/11/18</v>
      </c>
      <c r="E245" t="str">
        <f>"2019/11/8 上午 12:00:00"</f>
        <v>2019/11/8 上午 12:00:00</v>
      </c>
      <c r="F245" t="s">
        <v>30</v>
      </c>
    </row>
    <row r="246" spans="1:6" ht="16.5">
      <c r="A246" t="str">
        <f>"AA007089769"</f>
        <v>AA007089769</v>
      </c>
      <c r="B246" t="str">
        <f>"樺暘金屬 蘆竹區水尾段33地號 廠房新建工程"</f>
        <v>樺暘金屬 蘆竹區水尾段33地號 廠房新建工程</v>
      </c>
      <c r="C246" t="str">
        <f>"(107)桃市都建執照字第會蘆00596號"</f>
        <v>(107)桃市都建執照字第會蘆00596號</v>
      </c>
      <c r="D246" t="str">
        <f>"108/11/11"</f>
        <v>108/11/11</v>
      </c>
      <c r="E246" t="str">
        <f>"2019/10/17 上午 12:00:00"</f>
        <v>2019/10/17 上午 12:00:00</v>
      </c>
      <c r="F246" t="str">
        <f>"C1"</f>
        <v>C1</v>
      </c>
    </row>
    <row r="247" spans="1:6" ht="16.5">
      <c r="A247" t="str">
        <f>"AA007090180"</f>
        <v>AA007090180</v>
      </c>
      <c r="B247" t="str">
        <f>"A1 楊錫明住宅新建工程"</f>
        <v>A1 楊錫明住宅新建工程</v>
      </c>
      <c r="C247" t="str">
        <f>"&lt;107&gt;心鄉建字第1070006376號"</f>
        <v>&lt;107&gt;心鄉建字第1070006376號</v>
      </c>
      <c r="D247" t="str">
        <f>"108/11/20"</f>
        <v>108/11/20</v>
      </c>
      <c r="E247" t="str">
        <f>"2019/11/20 上午 12:00:00"</f>
        <v>2019/11/20 上午 12:00:00</v>
      </c>
      <c r="F247" t="str">
        <f>"A1"</f>
        <v>A1</v>
      </c>
    </row>
    <row r="248" spans="1:6" ht="16.5">
      <c r="A248" t="str">
        <f>"AA007090708"</f>
        <v>AA007090708</v>
      </c>
      <c r="B248" t="str">
        <f>"晏京建設宜蘭縣五結鄉孝威段486-21等三筆地號集合住宅案"</f>
        <v>晏京建設宜蘭縣五結鄉孝威段486-21等三筆地號集合住宅案</v>
      </c>
      <c r="C248" t="str">
        <f>"(107)(5)(17)建管建字第00284號"</f>
        <v>(107)(5)(17)建管建字第00284號</v>
      </c>
      <c r="D248" t="str">
        <f>"108/11/14"</f>
        <v>108/11/14</v>
      </c>
      <c r="E248" t="str">
        <f>"2019/11/8 上午 12:00:00"</f>
        <v>2019/11/8 上午 12:00:00</v>
      </c>
      <c r="F248" t="s">
        <v>6</v>
      </c>
    </row>
    <row r="249" spans="1:6" ht="16.5">
      <c r="A249" t="str">
        <f>"AA007090789"</f>
        <v>AA007090789</v>
      </c>
      <c r="B249" t="str">
        <f>"南澳交控中心、警察及消防廳舍新建工程"</f>
        <v>南澳交控中心、警察及消防廳舍新建工程</v>
      </c>
      <c r="C249" t="str">
        <f>"(107)(4)(19)建管建字第00216號"</f>
        <v>(107)(4)(19)建管建字第00216號</v>
      </c>
      <c r="D249" t="str">
        <f>"108/11/12"</f>
        <v>108/11/12</v>
      </c>
      <c r="E249" t="str">
        <f>"2019/11/7 上午 12:00:00"</f>
        <v>2019/11/7 上午 12:00:00</v>
      </c>
      <c r="F249" t="s">
        <v>19</v>
      </c>
    </row>
    <row r="250" spans="1:6" ht="16.5">
      <c r="A250" t="str">
        <f>"AA007091810"</f>
        <v>AA007091810</v>
      </c>
      <c r="B250" t="str">
        <f>"廖惠潭 桃園區小檜溪段店舖住宅新建工程"</f>
        <v>廖惠潭 桃園區小檜溪段店舖住宅新建工程</v>
      </c>
      <c r="C250" t="str">
        <f>"(107)桃市都建執照字第會桃00587號"</f>
        <v>(107)桃市都建執照字第會桃00587號</v>
      </c>
      <c r="D250" t="str">
        <f>"108/11/19"</f>
        <v>108/11/19</v>
      </c>
      <c r="E250" t="str">
        <f>"2019/11/8 上午 12:00:00"</f>
        <v>2019/11/8 上午 12:00:00</v>
      </c>
      <c r="F250" t="str">
        <f>"A1"</f>
        <v>A1</v>
      </c>
    </row>
    <row r="251" spans="1:6" ht="16.5">
      <c r="A251" t="str">
        <f>"AA007092608"</f>
        <v>AA007092608</v>
      </c>
      <c r="B251" t="str">
        <f>"蔡弘彬"</f>
        <v>蔡弘彬</v>
      </c>
      <c r="C251" t="str">
        <f>"(107)(土)營建字第9號"</f>
        <v>(107)(土)營建字第9號</v>
      </c>
      <c r="D251" t="str">
        <f>"108/11/13"</f>
        <v>108/11/13</v>
      </c>
      <c r="E251" t="str">
        <f>"2019/11/11 上午 12:00:00"</f>
        <v>2019/11/11 上午 12:00:00</v>
      </c>
      <c r="F251" t="str">
        <f>"A1"</f>
        <v>A1</v>
      </c>
    </row>
    <row r="252" spans="1:6" ht="16.5">
      <c r="A252" t="str">
        <f>"AA007092713"</f>
        <v>AA007092713</v>
      </c>
      <c r="B252" t="str">
        <f>"A1-憶豐建設民雄鄉民南段3戶住宅新建工程"</f>
        <v>A1-憶豐建設民雄鄉民南段3戶住宅新建工程</v>
      </c>
      <c r="C252" t="str">
        <f>"(107)嘉民鄉建執字第00136~00138號"</f>
        <v>(107)嘉民鄉建執字第00136~00138號</v>
      </c>
      <c r="D252" t="str">
        <f>"108/11/18"</f>
        <v>108/11/18</v>
      </c>
      <c r="E252" t="str">
        <f>"2019/11/18 上午 12:00:00"</f>
        <v>2019/11/18 上午 12:00:00</v>
      </c>
      <c r="F252" t="str">
        <f>"A1"</f>
        <v>A1</v>
      </c>
    </row>
    <row r="253" spans="1:6" ht="16.5">
      <c r="A253" t="str">
        <f>"AA007093036"</f>
        <v>AA007093036</v>
      </c>
      <c r="B253" t="str">
        <f>"蘆洲區和平段682地號集合住宅新建工程"</f>
        <v>蘆洲區和平段682地號集合住宅新建工程</v>
      </c>
      <c r="C253" t="str">
        <f>"107蘆建字第00262號"</f>
        <v>107蘆建字第00262號</v>
      </c>
      <c r="D253" t="str">
        <f>"108/11/22"</f>
        <v>108/11/22</v>
      </c>
      <c r="E253" t="str">
        <f>"2019/9/19 上午 12:00:00"</f>
        <v>2019/9/19 上午 12:00:00</v>
      </c>
      <c r="F253" t="s">
        <v>23</v>
      </c>
    </row>
    <row r="254" spans="1:6" ht="16.5">
      <c r="A254" t="str">
        <f>"AA007093311"</f>
        <v>AA007093311</v>
      </c>
      <c r="B254" t="str">
        <f>"陳賴素美  等3人  辦公室.住宅新建工程"</f>
        <v>陳賴素美  等3人  辦公室.住宅新建工程</v>
      </c>
      <c r="C254" t="str">
        <f>"(107)桃市都建執照字第會楊00651號"</f>
        <v>(107)桃市都建執照字第會楊00651號</v>
      </c>
      <c r="D254" t="str">
        <f>"108/11/14"</f>
        <v>108/11/14</v>
      </c>
      <c r="E254" t="str">
        <f>"2019/11/14 上午 12:00:00"</f>
        <v>2019/11/14 上午 12:00:00</v>
      </c>
      <c r="F254" t="str">
        <f>"A1"</f>
        <v>A1</v>
      </c>
    </row>
    <row r="255" spans="1:6" ht="16.5">
      <c r="A255" t="str">
        <f>"AA007093499"</f>
        <v>AA007093499</v>
      </c>
      <c r="B255" t="str">
        <f>"C1-(謝振輝)三名電音股份有限公司廠房新建工程"</f>
        <v>C1-(謝振輝)三名電音股份有限公司廠房新建工程</v>
      </c>
      <c r="C255" t="str">
        <f>"(107)嘉府經管執字第00085號"</f>
        <v>(107)嘉府經管執字第00085號</v>
      </c>
      <c r="D255" t="str">
        <f>"108/11/25"</f>
        <v>108/11/25</v>
      </c>
      <c r="E255" t="str">
        <f>"2019/11/15 上午 12:00:00"</f>
        <v>2019/11/15 上午 12:00:00</v>
      </c>
      <c r="F255" t="str">
        <f>"C1"</f>
        <v>C1</v>
      </c>
    </row>
    <row r="256" spans="1:6" ht="16.5">
      <c r="A256" t="str">
        <f>"AA007094158"</f>
        <v>AA007094158</v>
      </c>
      <c r="B256" t="str">
        <f>"B1 張嘉容等1戶店鋪新建工程"</f>
        <v>B1 張嘉容等1戶店鋪新建工程</v>
      </c>
      <c r="C256" t="str">
        <f>"107中都建字第00275號"</f>
        <v>107中都建字第00275號</v>
      </c>
      <c r="D256" t="str">
        <f>"108/11/07"</f>
        <v>108/11/07</v>
      </c>
      <c r="E256" t="str">
        <f>"2019/11/7 上午 12:00:00"</f>
        <v>2019/11/7 上午 12:00:00</v>
      </c>
      <c r="F256" t="str">
        <f>"B1"</f>
        <v>B1</v>
      </c>
    </row>
    <row r="257" spans="1:6" ht="16.5">
      <c r="A257" t="str">
        <f>"AA007094173"</f>
        <v>AA007094173</v>
      </c>
      <c r="B257" t="str">
        <f>"B1 賴麗慧等店鋪新建工程"</f>
        <v>B1 賴麗慧等店鋪新建工程</v>
      </c>
      <c r="C257" t="str">
        <f>"106中都建字第02343號"</f>
        <v>106中都建字第02343號</v>
      </c>
      <c r="D257" t="str">
        <f>"108/11/21"</f>
        <v>108/11/21</v>
      </c>
      <c r="E257" t="str">
        <f>"2019/11/15 上午 12:00:00"</f>
        <v>2019/11/15 上午 12:00:00</v>
      </c>
      <c r="F257" t="str">
        <f>"B1"</f>
        <v>B1</v>
      </c>
    </row>
    <row r="258" spans="1:6" ht="16.5">
      <c r="A258" t="str">
        <f>"AA007094832"</f>
        <v>AA007094832</v>
      </c>
      <c r="B258" t="str">
        <f>"柯婷文-住宅新建工程"</f>
        <v>柯婷文-住宅新建工程</v>
      </c>
      <c r="C258" t="str">
        <f>"(107)雲營建字第00752號"</f>
        <v>(107)雲營建字第00752號</v>
      </c>
      <c r="D258" t="str">
        <f>"108/11/11"</f>
        <v>108/11/11</v>
      </c>
      <c r="E258" t="str">
        <f>"2019/11/11 上午 12:00:00"</f>
        <v>2019/11/11 上午 12:00:00</v>
      </c>
      <c r="F258" t="str">
        <f>"A1"</f>
        <v>A1</v>
      </c>
    </row>
    <row r="259" spans="1:6" ht="16.5">
      <c r="A259" t="str">
        <f>"AA007095263"</f>
        <v>AA007095263</v>
      </c>
      <c r="B259" t="str">
        <f>"佳瑞建設桃園市中路二段268地號集合住宅新建工程"</f>
        <v>佳瑞建設桃園市中路二段268地號集合住宅新建工程</v>
      </c>
      <c r="C259" t="str">
        <f>"(104)桃市都建執照字第會   桃00903-02號"</f>
        <v>(104)桃市都建執照字第會   桃00903-02號</v>
      </c>
      <c r="D259" t="str">
        <f>"108/11/20"</f>
        <v>108/11/20</v>
      </c>
      <c r="E259" t="str">
        <f>"2019/10/4 上午 12:00:00"</f>
        <v>2019/10/4 上午 12:00:00</v>
      </c>
      <c r="F259" t="str">
        <f>"E1"</f>
        <v>E1</v>
      </c>
    </row>
    <row r="260" spans="1:6" ht="16.5">
      <c r="A260" t="str">
        <f>"AA007095863"</f>
        <v>AA007095863</v>
      </c>
      <c r="B260" t="str">
        <f>"A1x4 欣藝翔實業有限公司住宅新建工程"</f>
        <v>A1x4 欣藝翔實業有限公司住宅新建工程</v>
      </c>
      <c r="C260" t="str">
        <f>"(107)府建管(建)字第0085872~0085875號"</f>
        <v>(107)府建管(建)字第0085872~0085875號</v>
      </c>
      <c r="D260" t="str">
        <f>"108/11/25"</f>
        <v>108/11/25</v>
      </c>
      <c r="E260" t="str">
        <f>"2019/11/21 上午 12:00:00"</f>
        <v>2019/11/21 上午 12:00:00</v>
      </c>
      <c r="F260" t="str">
        <f>"A1"</f>
        <v>A1</v>
      </c>
    </row>
    <row r="261" spans="1:6" ht="16.5">
      <c r="A261" t="str">
        <f>"AA007096450"</f>
        <v>AA007096450</v>
      </c>
      <c r="B261" t="str">
        <f>"C1 旺展建設股份有限公司住宅新建工程"</f>
        <v>C1 旺展建設股份有限公司住宅新建工程</v>
      </c>
      <c r="C261" t="str">
        <f>"107中都建字第1334號"</f>
        <v>107中都建字第1334號</v>
      </c>
      <c r="D261" t="str">
        <f>"108/11/30"</f>
        <v>108/11/30</v>
      </c>
      <c r="E261" t="str">
        <f>"2019/11/25 上午 12:00:00"</f>
        <v>2019/11/25 上午 12:00:00</v>
      </c>
      <c r="F261" t="str">
        <f>"C1"</f>
        <v>C1</v>
      </c>
    </row>
    <row r="262" spans="1:6" ht="16.5">
      <c r="A262" t="str">
        <f>"AA007096789"</f>
        <v>AA007096789</v>
      </c>
      <c r="B262" t="str">
        <f>"汐止陳宅新建案"</f>
        <v>汐止陳宅新建案</v>
      </c>
      <c r="C262" t="str">
        <f>"107汐建字第00237號"</f>
        <v>107汐建字第00237號</v>
      </c>
      <c r="D262" t="str">
        <f>"108/11/27"</f>
        <v>108/11/27</v>
      </c>
      <c r="E262" t="str">
        <f>"2019/11/15 上午 12:00:00"</f>
        <v>2019/11/15 上午 12:00:00</v>
      </c>
      <c r="F262" t="str">
        <f>"A1"</f>
        <v>A1</v>
      </c>
    </row>
    <row r="263" spans="1:6" ht="16.5">
      <c r="A263" t="str">
        <f>"AA007097773"</f>
        <v>AA007097773</v>
      </c>
      <c r="B263" t="s">
        <v>35</v>
      </c>
      <c r="C263" t="str">
        <f>"107中都建字第00970號"</f>
        <v>107中都建字第00970號</v>
      </c>
      <c r="D263" t="str">
        <f>"108/11/30"</f>
        <v>108/11/30</v>
      </c>
      <c r="E263" t="str">
        <f>"2019/11/26 上午 12:00:00"</f>
        <v>2019/11/26 上午 12:00:00</v>
      </c>
      <c r="F263" t="s">
        <v>6</v>
      </c>
    </row>
    <row r="264" spans="1:6" ht="16.5">
      <c r="A264" t="str">
        <f>"AA007097885"</f>
        <v>AA007097885</v>
      </c>
      <c r="B264" t="str">
        <f>"A1-鼎峰開發建設湖內段11戶住宅新建工程"</f>
        <v>A1-鼎峰開發建設湖內段11戶住宅新建工程</v>
      </c>
      <c r="C264" t="str">
        <f>"A 107 嘉市府都建執字第0000193~0000203號"</f>
        <v>A 107 嘉市府都建執字第0000193~0000203號</v>
      </c>
      <c r="D264" t="str">
        <f>"108/11/18"</f>
        <v>108/11/18</v>
      </c>
      <c r="E264" t="str">
        <f>"2019/11/15 上午 12:00:00"</f>
        <v>2019/11/15 上午 12:00:00</v>
      </c>
      <c r="F264" t="str">
        <f>"A1"</f>
        <v>A1</v>
      </c>
    </row>
    <row r="265" spans="1:6" ht="16.5">
      <c r="A265" t="str">
        <f>"AA007098168"</f>
        <v>AA007098168</v>
      </c>
      <c r="B265" t="s">
        <v>36</v>
      </c>
      <c r="C265" t="str">
        <f>"107中都建字第01115號"</f>
        <v>107中都建字第01115號</v>
      </c>
      <c r="D265" t="str">
        <f>"108/11/30"</f>
        <v>108/11/30</v>
      </c>
      <c r="E265" t="str">
        <f>"2019/11/26 上午 12:00:00"</f>
        <v>2019/11/26 上午 12:00:00</v>
      </c>
      <c r="F265" t="s">
        <v>6</v>
      </c>
    </row>
    <row r="266" spans="1:6" ht="16.5">
      <c r="A266" t="str">
        <f>"AA007098216"</f>
        <v>AA007098216</v>
      </c>
      <c r="B266" t="str">
        <f>"A1 粘秀玫住宅新建工程"</f>
        <v>A1 粘秀玫住宅新建工程</v>
      </c>
      <c r="C266" t="str">
        <f>"107中都建字第01329號"</f>
        <v>107中都建字第01329號</v>
      </c>
      <c r="D266" t="str">
        <f>"108/11/25"</f>
        <v>108/11/25</v>
      </c>
      <c r="E266" t="str">
        <f>"2019/11/22 上午 12:00:00"</f>
        <v>2019/11/22 上午 12:00:00</v>
      </c>
      <c r="F266" t="str">
        <f>"A1"</f>
        <v>A1</v>
      </c>
    </row>
    <row r="267" spans="1:6" ht="16.5">
      <c r="A267" t="str">
        <f>"AA007098773"</f>
        <v>AA007098773</v>
      </c>
      <c r="B267" t="str">
        <f>"鈦翔建設有限公司昭明段F棟集合住宅新建工程"</f>
        <v>鈦翔建設有限公司昭明段F棟集合住宅新建工程</v>
      </c>
      <c r="C267" t="str">
        <f>"(107)高市工建築字第01272號"</f>
        <v>(107)高市工建築字第01272號</v>
      </c>
      <c r="D267" t="str">
        <f>"108/11/14"</f>
        <v>108/11/14</v>
      </c>
      <c r="E267" t="str">
        <f>"2019/11/10 上午 12:00:00"</f>
        <v>2019/11/10 上午 12:00:00</v>
      </c>
      <c r="F267" t="s">
        <v>9</v>
      </c>
    </row>
    <row r="268" spans="1:6" ht="16.5">
      <c r="A268" t="str">
        <f>"AA007098863"</f>
        <v>AA007098863</v>
      </c>
      <c r="B268" t="str">
        <f>"鈦翔建設有限公司昭明段G棟集合住宅新建工程"</f>
        <v>鈦翔建設有限公司昭明段G棟集合住宅新建工程</v>
      </c>
      <c r="C268" t="str">
        <f>"(107)高市工建築字第01271號"</f>
        <v>(107)高市工建築字第01271號</v>
      </c>
      <c r="D268" t="str">
        <f>"108/11/14"</f>
        <v>108/11/14</v>
      </c>
      <c r="E268" t="str">
        <f>"2019/11/10 上午 12:00:00"</f>
        <v>2019/11/10 上午 12:00:00</v>
      </c>
      <c r="F268" t="s">
        <v>9</v>
      </c>
    </row>
    <row r="269" spans="1:6" ht="16.5">
      <c r="A269" t="str">
        <f>"AA007098900"</f>
        <v>AA007098900</v>
      </c>
      <c r="B269" t="str">
        <f>"B1 興江山建設股份有限公司住宅新建工程"</f>
        <v>B1 興江山建設股份有限公司住宅新建工程</v>
      </c>
      <c r="C269" t="str">
        <f>"107中都建字第1093號"</f>
        <v>107中都建字第1093號</v>
      </c>
      <c r="D269" t="str">
        <f>"108/11/05"</f>
        <v>108/11/05</v>
      </c>
      <c r="E269" t="str">
        <f>"2019/11/4 上午 12:00:00"</f>
        <v>2019/11/4 上午 12:00:00</v>
      </c>
      <c r="F269" t="str">
        <f>"B1"</f>
        <v>B1</v>
      </c>
    </row>
    <row r="270" spans="1:6" ht="16.5">
      <c r="A270" t="str">
        <f>"AA007099755"</f>
        <v>AA007099755</v>
      </c>
      <c r="B270" t="str">
        <f>"彭錦龍店舖、住宅新建工程"</f>
        <v>彭錦龍店舖、住宅新建工程</v>
      </c>
      <c r="C270" t="str">
        <f>"(107)府都建字第00171號"</f>
        <v>(107)府都建字第00171號</v>
      </c>
      <c r="D270" t="str">
        <f>"108/11/28"</f>
        <v>108/11/28</v>
      </c>
      <c r="E270" t="str">
        <f>"2019/11/19 上午 12:00:00"</f>
        <v>2019/11/19 上午 12:00:00</v>
      </c>
      <c r="F270" t="s">
        <v>7</v>
      </c>
    </row>
    <row r="271" spans="1:6" ht="16.5">
      <c r="A271" t="str">
        <f>"AA007100935"</f>
        <v>AA007100935</v>
      </c>
      <c r="B271" t="str">
        <f>"誠甲開發有限公司代表人:張明達等三戶住宅新建工程"</f>
        <v>誠甲開發有限公司代表人:張明達等三戶住宅新建工程</v>
      </c>
      <c r="C271" t="str">
        <f>"(107)高市工建築字第01088~01090號"</f>
        <v>(107)高市工建築字第01088~01090號</v>
      </c>
      <c r="D271" t="str">
        <f>"108/11/07"</f>
        <v>108/11/07</v>
      </c>
      <c r="E271" t="str">
        <f>"2019/11/7 上午 12:00:00"</f>
        <v>2019/11/7 上午 12:00:00</v>
      </c>
      <c r="F271" t="str">
        <f aca="true" t="shared" si="4" ref="F271:F278">"A1"</f>
        <v>A1</v>
      </c>
    </row>
    <row r="272" spans="1:6" ht="16.5">
      <c r="A272" t="str">
        <f>"AA007101306"</f>
        <v>AA007101306</v>
      </c>
      <c r="B272" t="str">
        <f>"A1-蔡忠誠店鋪住宅新建工程"</f>
        <v>A1-蔡忠誠店鋪住宅新建工程</v>
      </c>
      <c r="C272" t="str">
        <f>"107雲營建字第00761號"</f>
        <v>107雲營建字第00761號</v>
      </c>
      <c r="D272" t="str">
        <f>"108/11/13"</f>
        <v>108/11/13</v>
      </c>
      <c r="E272" t="str">
        <f>"2019/11/13 上午 12:00:00"</f>
        <v>2019/11/13 上午 12:00:00</v>
      </c>
      <c r="F272" t="str">
        <f t="shared" si="4"/>
        <v>A1</v>
      </c>
    </row>
    <row r="273" spans="1:6" ht="16.5">
      <c r="A273" t="str">
        <f>"AA007101428"</f>
        <v>AA007101428</v>
      </c>
      <c r="B273" t="str">
        <f>"A1x12 基業建設行住宅新建工程"</f>
        <v>A1x12 基業建設行住宅新建工程</v>
      </c>
      <c r="C273" t="str">
        <f>"(107)二鄉建字第0007081~0007088、0007092~0007095號"</f>
        <v>(107)二鄉建字第0007081~0007088、0007092~0007095號</v>
      </c>
      <c r="D273" t="str">
        <f>"108/11/27"</f>
        <v>108/11/27</v>
      </c>
      <c r="E273" t="str">
        <f>"2019/11/26 上午 12:00:00"</f>
        <v>2019/11/26 上午 12:00:00</v>
      </c>
      <c r="F273" t="str">
        <f t="shared" si="4"/>
        <v>A1</v>
      </c>
    </row>
    <row r="274" spans="1:6" ht="16.5">
      <c r="A274" t="str">
        <f>"AA007101795"</f>
        <v>AA007101795</v>
      </c>
      <c r="B274" t="str">
        <f>"郭銘森二戶店舖住宅新建工程"</f>
        <v>郭銘森二戶店舖住宅新建工程</v>
      </c>
      <c r="C274" t="str">
        <f>"(107)(雲)營建字第674號"</f>
        <v>(107)(雲)營建字第674號</v>
      </c>
      <c r="D274" t="str">
        <f>"108/11/13"</f>
        <v>108/11/13</v>
      </c>
      <c r="E274" t="str">
        <f>"2019/11/11 上午 12:00:00"</f>
        <v>2019/11/11 上午 12:00:00</v>
      </c>
      <c r="F274" t="str">
        <f t="shared" si="4"/>
        <v>A1</v>
      </c>
    </row>
    <row r="275" spans="1:6" ht="16.5">
      <c r="A275" t="str">
        <f>"AA007101845"</f>
        <v>AA007101845</v>
      </c>
      <c r="B275" t="str">
        <f>"A1-葉松武住宅新建工程"</f>
        <v>A1-葉松武住宅新建工程</v>
      </c>
      <c r="C275" t="str">
        <f>"A106嘉市府都建執字第000750號"</f>
        <v>A106嘉市府都建執字第000750號</v>
      </c>
      <c r="D275" t="str">
        <f>"108/11/18"</f>
        <v>108/11/18</v>
      </c>
      <c r="E275" t="str">
        <f>"2019/11/18 上午 12:00:00"</f>
        <v>2019/11/18 上午 12:00:00</v>
      </c>
      <c r="F275" t="str">
        <f t="shared" si="4"/>
        <v>A1</v>
      </c>
    </row>
    <row r="276" spans="1:6" ht="16.5">
      <c r="A276" t="str">
        <f>"AA007102180"</f>
        <v>AA007102180</v>
      </c>
      <c r="B276" t="str">
        <f>"A1 許麗珠住宅新建工程"</f>
        <v>A1 許麗珠住宅新建工程</v>
      </c>
      <c r="C276" t="str">
        <f>"107中都建字第01426號"</f>
        <v>107中都建字第01426號</v>
      </c>
      <c r="D276" t="str">
        <f>"108/11/25"</f>
        <v>108/11/25</v>
      </c>
      <c r="E276" t="str">
        <f>"2019/11/19 上午 12:00:00"</f>
        <v>2019/11/19 上午 12:00:00</v>
      </c>
      <c r="F276" t="str">
        <f t="shared" si="4"/>
        <v>A1</v>
      </c>
    </row>
    <row r="277" spans="1:6" ht="16.5">
      <c r="A277" t="str">
        <f>"AA007104395"</f>
        <v>AA007104395</v>
      </c>
      <c r="B277" t="str">
        <f>"大朝建設有限公司3FX1戶住宅新建工程"</f>
        <v>大朝建設有限公司3FX1戶住宅新建工程</v>
      </c>
      <c r="C277" t="str">
        <f>"(107）南工造字第02573號"</f>
        <v>(107）南工造字第02573號</v>
      </c>
      <c r="D277" t="str">
        <f>"108/11/04"</f>
        <v>108/11/04</v>
      </c>
      <c r="E277" t="str">
        <f>"2019/11/4 上午 12:00:00"</f>
        <v>2019/11/4 上午 12:00:00</v>
      </c>
      <c r="F277" t="str">
        <f t="shared" si="4"/>
        <v>A1</v>
      </c>
    </row>
    <row r="278" spans="1:6" ht="16.5">
      <c r="A278" t="str">
        <f>"AA007105036"</f>
        <v>AA007105036</v>
      </c>
      <c r="B278" t="str">
        <f>"A1 廖浩欽住宅新建工程"</f>
        <v>A1 廖浩欽住宅新建工程</v>
      </c>
      <c r="C278" t="str">
        <f>"(107)(雲)營建字第00825號"</f>
        <v>(107)(雲)營建字第00825號</v>
      </c>
      <c r="D278" t="str">
        <f>"108/11/18"</f>
        <v>108/11/18</v>
      </c>
      <c r="E278" t="str">
        <f>"2019/11/18 上午 12:00:00"</f>
        <v>2019/11/18 上午 12:00:00</v>
      </c>
      <c r="F278" t="str">
        <f t="shared" si="4"/>
        <v>A1</v>
      </c>
    </row>
    <row r="279" spans="1:6" ht="16.5">
      <c r="A279" t="str">
        <f>"AA007105258"</f>
        <v>AA007105258</v>
      </c>
      <c r="B279" t="str">
        <f>"D1-文苑實業有限公司主題飯店新建工程"</f>
        <v>D1-文苑實業有限公司主題飯店新建工程</v>
      </c>
      <c r="C279" t="str">
        <f>"(107)嘉府經管執字第00037號"</f>
        <v>(107)嘉府經管執字第00037號</v>
      </c>
      <c r="D279" t="str">
        <f>"108/11/04"</f>
        <v>108/11/04</v>
      </c>
      <c r="E279" t="str">
        <f>"2019/11/1 上午 12:00:00"</f>
        <v>2019/11/1 上午 12:00:00</v>
      </c>
      <c r="F279" t="s">
        <v>19</v>
      </c>
    </row>
    <row r="280" spans="1:6" ht="16.5">
      <c r="A280" t="str">
        <f>"AA007106338"</f>
        <v>AA007106338</v>
      </c>
      <c r="B280" t="str">
        <f>"A1-廣立建設有限公司住宅新建工程"</f>
        <v>A1-廣立建設有限公司住宅新建工程</v>
      </c>
      <c r="C280" t="str">
        <f>"(107)(麥)營建字第72~76號"</f>
        <v>(107)(麥)營建字第72~76號</v>
      </c>
      <c r="D280" t="str">
        <f>"108/11/28"</f>
        <v>108/11/28</v>
      </c>
      <c r="E280" t="str">
        <f>"2019/11/28 上午 12:00:00"</f>
        <v>2019/11/28 上午 12:00:00</v>
      </c>
      <c r="F280" t="str">
        <f>"A1"</f>
        <v>A1</v>
      </c>
    </row>
    <row r="281" spans="1:6" ht="16.5">
      <c r="A281" t="str">
        <f>"AA007106665"</f>
        <v>AA007106665</v>
      </c>
      <c r="B281" t="str">
        <f>"A1x6 員群建設有限公司住宅新建工程"</f>
        <v>A1x6 員群建設有限公司住宅新建工程</v>
      </c>
      <c r="C281" t="str">
        <f>"(107)雲營二鄉建字第00034~00039號"</f>
        <v>(107)雲營二鄉建字第00034~00039號</v>
      </c>
      <c r="D281" t="str">
        <f>"108/11/28"</f>
        <v>108/11/28</v>
      </c>
      <c r="E281" t="str">
        <f>"2019/11/25 上午 12:00:00"</f>
        <v>2019/11/25 上午 12:00:00</v>
      </c>
      <c r="F281" t="str">
        <f>"A1"</f>
        <v>A1</v>
      </c>
    </row>
    <row r="282" spans="1:6" ht="16.5">
      <c r="A282" t="str">
        <f>"AA007107090"</f>
        <v>AA007107090</v>
      </c>
      <c r="B282" t="str">
        <f>"弘鼎開發建設有限公司仁武區北屋段住宅新建工程"</f>
        <v>弘鼎開發建設有限公司仁武區北屋段住宅新建工程</v>
      </c>
      <c r="C282" t="str">
        <f>"(107)高市工建築字第01320~01328號"</f>
        <v>(107)高市工建築字第01320~01328號</v>
      </c>
      <c r="D282" t="str">
        <f>"108/11/08"</f>
        <v>108/11/08</v>
      </c>
      <c r="E282" t="str">
        <f>"2019/11/5 上午 12:00:00"</f>
        <v>2019/11/5 上午 12:00:00</v>
      </c>
      <c r="F282" t="str">
        <f>"A1"</f>
        <v>A1</v>
      </c>
    </row>
    <row r="283" spans="1:6" ht="16.5">
      <c r="A283" t="str">
        <f>"AA007107131"</f>
        <v>AA007107131</v>
      </c>
      <c r="B283" t="str">
        <f>"蘇慶輝(5Fx1戶)住宅"</f>
        <v>蘇慶輝(5Fx1戶)住宅</v>
      </c>
      <c r="C283" t="str">
        <f>"(107)南工造字第02672號"</f>
        <v>(107)南工造字第02672號</v>
      </c>
      <c r="D283" t="str">
        <f>"108/11/24"</f>
        <v>108/11/24</v>
      </c>
      <c r="E283" t="str">
        <f>"2019/11/22 上午 12:00:00"</f>
        <v>2019/11/22 上午 12:00:00</v>
      </c>
      <c r="F283" t="str">
        <f>"A1"</f>
        <v>A1</v>
      </c>
    </row>
    <row r="284" spans="1:6" ht="16.5">
      <c r="A284" t="str">
        <f>"AA007107910"</f>
        <v>AA007107910</v>
      </c>
      <c r="B284" t="str">
        <f>"大霖建設有限公司 住宅新建工程"</f>
        <v>大霖建設有限公司 住宅新建工程</v>
      </c>
      <c r="C284" t="str">
        <f>"(107)府建字第00300號"</f>
        <v>(107)府建字第00300號</v>
      </c>
      <c r="D284" t="str">
        <f>"108/11/18"</f>
        <v>108/11/18</v>
      </c>
      <c r="E284" t="str">
        <f>"2019/11/12 上午 12:00:00"</f>
        <v>2019/11/12 上午 12:00:00</v>
      </c>
      <c r="F284" t="s">
        <v>7</v>
      </c>
    </row>
    <row r="285" spans="1:6" ht="16.5">
      <c r="A285" t="str">
        <f>"AA007108975"</f>
        <v>AA007108975</v>
      </c>
      <c r="B285" t="str">
        <f>"銅鑼西田洋段300地號新建工程"</f>
        <v>銅鑼西田洋段300地號新建工程</v>
      </c>
      <c r="C285" t="str">
        <f>" (107)栗商建銅建字第00015號"</f>
        <v> (107)栗商建銅建字第00015號</v>
      </c>
      <c r="D285" t="str">
        <f>"108/11/03"</f>
        <v>108/11/03</v>
      </c>
      <c r="E285" t="str">
        <f>"2019/10/29 上午 12:00:00"</f>
        <v>2019/10/29 上午 12:00:00</v>
      </c>
      <c r="F285" t="s">
        <v>6</v>
      </c>
    </row>
    <row r="286" spans="1:6" ht="16.5">
      <c r="A286" t="str">
        <f>"AA007109144"</f>
        <v>AA007109144</v>
      </c>
      <c r="B286" t="str">
        <f>"黃金龍-大同段幼兒園新建工程"</f>
        <v>黃金龍-大同段幼兒園新建工程</v>
      </c>
      <c r="C286" t="str">
        <f>"（107）栗商建竹建字第00035號"</f>
        <v>（107）栗商建竹建字第00035號</v>
      </c>
      <c r="D286" t="str">
        <f>"108/11/18"</f>
        <v>108/11/18</v>
      </c>
      <c r="E286" t="str">
        <f>"2019/11/12 上午 12:00:00"</f>
        <v>2019/11/12 上午 12:00:00</v>
      </c>
      <c r="F286" t="s">
        <v>6</v>
      </c>
    </row>
    <row r="287" spans="1:6" ht="16.5">
      <c r="A287" t="str">
        <f>"AA007109428"</f>
        <v>AA007109428</v>
      </c>
      <c r="B287" t="str">
        <f>"泰億建設有限公司"</f>
        <v>泰億建設有限公司</v>
      </c>
      <c r="C287" t="str">
        <f>"(107)南工造字第02722~02724號"</f>
        <v>(107)南工造字第02722~02724號</v>
      </c>
      <c r="D287" t="str">
        <f>"108/11/06"</f>
        <v>108/11/06</v>
      </c>
      <c r="E287" t="str">
        <f>"2019/11/6 上午 12:00:00"</f>
        <v>2019/11/6 上午 12:00:00</v>
      </c>
      <c r="F287" t="str">
        <f>"A1"</f>
        <v>A1</v>
      </c>
    </row>
    <row r="288" spans="1:6" ht="16.5">
      <c r="A288" t="str">
        <f>"AA007109935"</f>
        <v>AA007109935</v>
      </c>
      <c r="B288" t="str">
        <f>"陳銘銓集合住宅新建工程"</f>
        <v>陳銘銓集合住宅新建工程</v>
      </c>
      <c r="C288" t="str">
        <f>"(107)府建字第00280號"</f>
        <v>(107)府建字第00280號</v>
      </c>
      <c r="D288" t="str">
        <f>"108/11/28"</f>
        <v>108/11/28</v>
      </c>
      <c r="E288" t="str">
        <f>"2019/11/19 上午 12:00:00"</f>
        <v>2019/11/19 上午 12:00:00</v>
      </c>
      <c r="F288" t="s">
        <v>7</v>
      </c>
    </row>
    <row r="289" spans="1:6" ht="16.5">
      <c r="A289" t="str">
        <f>"AA007109949"</f>
        <v>AA007109949</v>
      </c>
      <c r="B289" t="str">
        <f>"佳益建設集合住宅新建工程"</f>
        <v>佳益建設集合住宅新建工程</v>
      </c>
      <c r="C289" t="str">
        <f>"(107)府建字第00279號"</f>
        <v>(107)府建字第00279號</v>
      </c>
      <c r="D289" t="str">
        <f>"108/11/28"</f>
        <v>108/11/28</v>
      </c>
      <c r="E289" t="str">
        <f>"2019/11/19 上午 12:00:00"</f>
        <v>2019/11/19 上午 12:00:00</v>
      </c>
      <c r="F289" t="s">
        <v>6</v>
      </c>
    </row>
    <row r="290" spans="1:6" ht="16.5">
      <c r="A290" t="str">
        <f>"AA007110324"</f>
        <v>AA007110324</v>
      </c>
      <c r="B290" t="str">
        <f>"B1 廣林建設有限公司五戶住宅新建工程"</f>
        <v>B1 廣林建設有限公司五戶住宅新建工程</v>
      </c>
      <c r="C290" t="str">
        <f>"107中都建字第01541號"</f>
        <v>107中都建字第01541號</v>
      </c>
      <c r="D290" t="str">
        <f>"108/11/26"</f>
        <v>108/11/26</v>
      </c>
      <c r="E290" t="str">
        <f>"2019/11/26 上午 12:00:00"</f>
        <v>2019/11/26 上午 12:00:00</v>
      </c>
      <c r="F290" t="str">
        <f>"B1"</f>
        <v>B1</v>
      </c>
    </row>
    <row r="291" spans="1:6" ht="16.5">
      <c r="A291" t="str">
        <f>"AA007110370"</f>
        <v>AA007110370</v>
      </c>
      <c r="B291" t="str">
        <f>"呂紹欽等三名"</f>
        <v>呂紹欽等三名</v>
      </c>
      <c r="C291" t="str">
        <f>"107土建字第299號"</f>
        <v>107土建字第299號</v>
      </c>
      <c r="D291" t="str">
        <f>"108/11/04"</f>
        <v>108/11/04</v>
      </c>
      <c r="E291" t="str">
        <f>"2019/10/23 上午 12:00:00"</f>
        <v>2019/10/23 上午 12:00:00</v>
      </c>
      <c r="F291" t="s">
        <v>9</v>
      </c>
    </row>
    <row r="292" spans="1:6" ht="16.5">
      <c r="A292" t="str">
        <f>"AA007112438"</f>
        <v>AA007112438</v>
      </c>
      <c r="B292" t="str">
        <f>"B1 旭日昇建設有限公司四戶住宅新建工程"</f>
        <v>B1 旭日昇建設有限公司四戶住宅新建工程</v>
      </c>
      <c r="C292" t="str">
        <f>"107中都建字第01416號"</f>
        <v>107中都建字第01416號</v>
      </c>
      <c r="D292" t="str">
        <f>"108/11/28"</f>
        <v>108/11/28</v>
      </c>
      <c r="E292" t="str">
        <f>"2019/11/19 上午 12:00:00"</f>
        <v>2019/11/19 上午 12:00:00</v>
      </c>
      <c r="F292" t="str">
        <f>"B1"</f>
        <v>B1</v>
      </c>
    </row>
    <row r="293" spans="1:6" ht="16.5">
      <c r="A293" t="str">
        <f>"AA007112845"</f>
        <v>AA007112845</v>
      </c>
      <c r="B293" t="str">
        <f>"安得建設有限公司住宅新建工程"</f>
        <v>安得建設有限公司住宅新建工程</v>
      </c>
      <c r="C293" t="str">
        <f>"(107)(雲)營建字第850號"</f>
        <v>(107)(雲)營建字第850號</v>
      </c>
      <c r="D293" t="str">
        <f>"108/11/11"</f>
        <v>108/11/11</v>
      </c>
      <c r="E293" t="str">
        <f>"2019/11/11 上午 12:00:00"</f>
        <v>2019/11/11 上午 12:00:00</v>
      </c>
      <c r="F293" t="str">
        <f>"A1"</f>
        <v>A1</v>
      </c>
    </row>
    <row r="294" spans="1:6" ht="16.5">
      <c r="A294" t="str">
        <f>"AA007113168"</f>
        <v>AA007113168</v>
      </c>
      <c r="B294" t="str">
        <f>"湯愛香"</f>
        <v>湯愛香</v>
      </c>
      <c r="C294" t="str">
        <f>"(107)南工造字第02727號"</f>
        <v>(107)南工造字第02727號</v>
      </c>
      <c r="D294" t="str">
        <f>"108/11/30"</f>
        <v>108/11/30</v>
      </c>
      <c r="E294" t="str">
        <f>"2019/11/26 上午 12:00:00"</f>
        <v>2019/11/26 上午 12:00:00</v>
      </c>
      <c r="F294" t="str">
        <f>"A1"</f>
        <v>A1</v>
      </c>
    </row>
    <row r="295" spans="1:6" ht="16.5">
      <c r="A295" t="str">
        <f>"AA007113789"</f>
        <v>AA007113789</v>
      </c>
      <c r="B295" t="str">
        <f>"許智維(2Fx1戶)幼兒園"</f>
        <v>許智維(2Fx1戶)幼兒園</v>
      </c>
      <c r="C295" t="str">
        <f>"(107)南工造字第02537號"</f>
        <v>(107)南工造字第02537號</v>
      </c>
      <c r="D295" t="str">
        <f>"108/11/12"</f>
        <v>108/11/12</v>
      </c>
      <c r="E295" t="str">
        <f>"2019/11/12 上午 12:00:00"</f>
        <v>2019/11/12 上午 12:00:00</v>
      </c>
      <c r="F295" t="str">
        <f>"C1"</f>
        <v>C1</v>
      </c>
    </row>
    <row r="296" spans="1:6" ht="16.5">
      <c r="A296" t="str">
        <f>"AA007114007"</f>
        <v>AA007114007</v>
      </c>
      <c r="B296" t="str">
        <f>"莊和達新營區住宅新建工程"</f>
        <v>莊和達新營區住宅新建工程</v>
      </c>
      <c r="C296" t="str">
        <f>"(107)南工造字第02792號"</f>
        <v>(107)南工造字第02792號</v>
      </c>
      <c r="D296" t="str">
        <f>"108/11/09"</f>
        <v>108/11/09</v>
      </c>
      <c r="E296" t="str">
        <f>"2019/11/8 上午 12:00:00"</f>
        <v>2019/11/8 上午 12:00:00</v>
      </c>
      <c r="F296" t="str">
        <f>"B1"</f>
        <v>B1</v>
      </c>
    </row>
    <row r="297" spans="1:6" ht="16.5">
      <c r="A297" t="str">
        <f>"AA007114382"</f>
        <v>AA007114382</v>
      </c>
      <c r="B297" t="s">
        <v>37</v>
      </c>
      <c r="C297" t="str">
        <f>"107.1.25建管建字第00039~00050號"</f>
        <v>107.1.25建管建字第00039~00050號</v>
      </c>
      <c r="D297" t="str">
        <f>"108/11/12"</f>
        <v>108/11/12</v>
      </c>
      <c r="E297" t="str">
        <f>"2019/11/12 上午 12:00:00"</f>
        <v>2019/11/12 上午 12:00:00</v>
      </c>
      <c r="F297" t="str">
        <f>"A1"</f>
        <v>A1</v>
      </c>
    </row>
    <row r="298" spans="1:6" ht="16.5">
      <c r="A298" t="str">
        <f>"AA007115803"</f>
        <v>AA007115803</v>
      </c>
      <c r="B298" t="str">
        <f>"淡水興化店段廠房新建工程"</f>
        <v>淡水興化店段廠房新建工程</v>
      </c>
      <c r="C298" t="str">
        <f>"105淡建字第00528號"</f>
        <v>105淡建字第00528號</v>
      </c>
      <c r="D298" t="str">
        <f>"108/11/13"</f>
        <v>108/11/13</v>
      </c>
      <c r="E298" t="str">
        <f>"2019/10/16 上午 12:00:00"</f>
        <v>2019/10/16 上午 12:00:00</v>
      </c>
      <c r="F298" t="str">
        <f>"C1"</f>
        <v>C1</v>
      </c>
    </row>
    <row r="299" spans="1:6" ht="16.5">
      <c r="A299" t="str">
        <f>"AA007116263"</f>
        <v>AA007116263</v>
      </c>
      <c r="B299" t="str">
        <f>"林亞辰住宅新建工程"</f>
        <v>林亞辰住宅新建工程</v>
      </c>
      <c r="C299" t="str">
        <f>"(107)高市工建築字第01590號"</f>
        <v>(107)高市工建築字第01590號</v>
      </c>
      <c r="D299" t="str">
        <f>"108/11/04"</f>
        <v>108/11/04</v>
      </c>
      <c r="E299" t="str">
        <f>"2019/10/30 上午 12:00:00"</f>
        <v>2019/10/30 上午 12:00:00</v>
      </c>
      <c r="F299" t="str">
        <f>"A1"</f>
        <v>A1</v>
      </c>
    </row>
    <row r="300" spans="1:6" ht="16.5">
      <c r="A300" t="str">
        <f>"AA007116713"</f>
        <v>AA007116713</v>
      </c>
      <c r="B300" t="str">
        <f>"A1 王淑鈴住宅新建工程"</f>
        <v>A1 王淑鈴住宅新建工程</v>
      </c>
      <c r="C300" t="str">
        <f>"107中都建字第01445號"</f>
        <v>107中都建字第01445號</v>
      </c>
      <c r="D300" t="str">
        <f>"108/11/06"</f>
        <v>108/11/06</v>
      </c>
      <c r="E300" t="str">
        <f>"2019/11/4 上午 12:00:00"</f>
        <v>2019/11/4 上午 12:00:00</v>
      </c>
      <c r="F300" t="s">
        <v>7</v>
      </c>
    </row>
    <row r="301" spans="1:6" ht="16.5">
      <c r="A301" t="str">
        <f>"AA007118608"</f>
        <v>AA007118608</v>
      </c>
      <c r="B301" t="str">
        <f>"磐築建設店舖、集合住安宅新建工程"</f>
        <v>磐築建設店舖、集合住安宅新建工程</v>
      </c>
      <c r="C301" t="str">
        <f>"(107)府建字第00315號"</f>
        <v>(107)府建字第00315號</v>
      </c>
      <c r="D301" t="str">
        <f>"108/11/17"</f>
        <v>108/11/17</v>
      </c>
      <c r="E301" t="str">
        <f>"2019/11/14 上午 12:00:00"</f>
        <v>2019/11/14 上午 12:00:00</v>
      </c>
      <c r="F301" t="s">
        <v>6</v>
      </c>
    </row>
    <row r="302" spans="1:6" ht="16.5">
      <c r="A302" t="str">
        <f>"AA007119562"</f>
        <v>AA007119562</v>
      </c>
      <c r="B302" t="str">
        <f>"吳秉鴻(4Fx1戶)住宅"</f>
        <v>吳秉鴻(4Fx1戶)住宅</v>
      </c>
      <c r="C302" t="str">
        <f>"(107)南工造字第02842號"</f>
        <v>(107)南工造字第02842號</v>
      </c>
      <c r="D302" t="str">
        <f>"108/11/13"</f>
        <v>108/11/13</v>
      </c>
      <c r="E302" t="str">
        <f>"2019/11/13 上午 12:00:00"</f>
        <v>2019/11/13 上午 12:00:00</v>
      </c>
      <c r="F302" t="str">
        <f>"A1"</f>
        <v>A1</v>
      </c>
    </row>
    <row r="303" spans="1:6" ht="16.5">
      <c r="A303" t="str">
        <f>"AA007120131"</f>
        <v>AA007120131</v>
      </c>
      <c r="B303" t="str">
        <f>"順光建設有限公司 負責人：洪崇恩4F4戶 住宅新建工程"</f>
        <v>順光建設有限公司 負責人：洪崇恩4F4戶 住宅新建工程</v>
      </c>
      <c r="C303" t="str">
        <f>"(107)南工造字第02459~02462號"</f>
        <v>(107)南工造字第02459~02462號</v>
      </c>
      <c r="D303" t="str">
        <f>"108/11/06"</f>
        <v>108/11/06</v>
      </c>
      <c r="E303" t="str">
        <f>"2019/11/1 上午 12:00:00"</f>
        <v>2019/11/1 上午 12:00:00</v>
      </c>
      <c r="F303" t="str">
        <f>"A1"</f>
        <v>A1</v>
      </c>
    </row>
    <row r="304" spans="1:6" ht="16.5">
      <c r="A304" t="str">
        <f>"AA007120499"</f>
        <v>AA007120499</v>
      </c>
      <c r="B304" t="str">
        <f>"B1 定展建設有限公司10戶住宅新建工程"</f>
        <v>B1 定展建設有限公司10戶住宅新建工程</v>
      </c>
      <c r="C304" t="str">
        <f>"107中都建字第01595號"</f>
        <v>107中都建字第01595號</v>
      </c>
      <c r="D304" t="str">
        <f>"108/11/07"</f>
        <v>108/11/07</v>
      </c>
      <c r="E304" t="str">
        <f>"2019/11/5 上午 12:00:00"</f>
        <v>2019/11/5 上午 12:00:00</v>
      </c>
      <c r="F304" t="str">
        <f>"B1"</f>
        <v>B1</v>
      </c>
    </row>
    <row r="305" spans="1:6" ht="16.5">
      <c r="A305" t="str">
        <f>"AA007120891"</f>
        <v>AA007120891</v>
      </c>
      <c r="B305" t="str">
        <f>"大方無隅股份有限公司等4戶住宅 新建工程"</f>
        <v>大方無隅股份有限公司等4戶住宅 新建工程</v>
      </c>
      <c r="C305" t="str">
        <f>"(107)高市工建築字第01585~01586號"</f>
        <v>(107)高市工建築字第01585~01586號</v>
      </c>
      <c r="D305" t="str">
        <f>"108/11/26"</f>
        <v>108/11/26</v>
      </c>
      <c r="E305" t="str">
        <f>"2019/11/19 上午 12:00:00"</f>
        <v>2019/11/19 上午 12:00:00</v>
      </c>
      <c r="F305" t="str">
        <f>"A1"</f>
        <v>A1</v>
      </c>
    </row>
    <row r="306" spans="1:6" ht="16.5">
      <c r="A306" t="str">
        <f>"AA007121769"</f>
        <v>AA007121769</v>
      </c>
      <c r="B306" t="str">
        <f>"顏妙軒(4F×1戶)住宅新建工程"</f>
        <v>顏妙軒(4F×1戶)住宅新建工程</v>
      </c>
      <c r="C306" t="str">
        <f>"(107)南工造字第03072號"</f>
        <v>(107)南工造字第03072號</v>
      </c>
      <c r="D306" t="str">
        <f>"108/11/26"</f>
        <v>108/11/26</v>
      </c>
      <c r="E306" t="str">
        <f>"2019/11/26 上午 12:00:00"</f>
        <v>2019/11/26 上午 12:00:00</v>
      </c>
      <c r="F306" t="str">
        <f>"A1"</f>
        <v>A1</v>
      </c>
    </row>
    <row r="307" spans="1:6" ht="16.5">
      <c r="A307" t="str">
        <f>"AA007122803"</f>
        <v>AA007122803</v>
      </c>
      <c r="B307" t="str">
        <f>"住宅新建工程"</f>
        <v>住宅新建工程</v>
      </c>
      <c r="C307" t="s">
        <v>38</v>
      </c>
      <c r="D307" t="str">
        <f>"108/11/18"</f>
        <v>108/11/18</v>
      </c>
      <c r="E307" t="str">
        <f>"2019/11/15 上午 12:00:00"</f>
        <v>2019/11/15 上午 12:00:00</v>
      </c>
      <c r="F307" t="str">
        <f>"A1"</f>
        <v>A1</v>
      </c>
    </row>
    <row r="308" spans="1:6" ht="16.5">
      <c r="A308" t="str">
        <f>"AA007123575"</f>
        <v>AA007123575</v>
      </c>
      <c r="B308" t="str">
        <f>"黃全成 住宅"</f>
        <v>黃全成 住宅</v>
      </c>
      <c r="C308" t="str">
        <f>"(107)高市工建築第01772號"</f>
        <v>(107)高市工建築第01772號</v>
      </c>
      <c r="D308" t="str">
        <f>"108/11/26"</f>
        <v>108/11/26</v>
      </c>
      <c r="E308" t="str">
        <f>"2019/11/25 上午 12:00:00"</f>
        <v>2019/11/25 上午 12:00:00</v>
      </c>
      <c r="F308" t="str">
        <f>"A1"</f>
        <v>A1</v>
      </c>
    </row>
    <row r="309" spans="1:6" ht="16.5">
      <c r="A309" t="str">
        <f>"AA007123608"</f>
        <v>AA007123608</v>
      </c>
      <c r="B309" t="str">
        <f>"B1-翔富虎尾建設股份有限公司住宅新建工程"</f>
        <v>B1-翔富虎尾建設股份有限公司住宅新建工程</v>
      </c>
      <c r="C309" t="str">
        <f>"107雲營建字第00891號"</f>
        <v>107雲營建字第00891號</v>
      </c>
      <c r="D309" t="str">
        <f>"108/11/28"</f>
        <v>108/11/28</v>
      </c>
      <c r="E309" t="str">
        <f>"2019/11/25 上午 12:00:00"</f>
        <v>2019/11/25 上午 12:00:00</v>
      </c>
      <c r="F309" t="str">
        <f>"B1"</f>
        <v>B1</v>
      </c>
    </row>
    <row r="310" spans="1:6" ht="16.5">
      <c r="A310" t="str">
        <f>"AA007123699"</f>
        <v>AA007123699</v>
      </c>
      <c r="B310" t="str">
        <f>"宏森地產02戶四層住宅新建工程"</f>
        <v>宏森地產02戶四層住宅新建工程</v>
      </c>
      <c r="C310" t="str">
        <f>"(107)高市工建築字第00684-01號"</f>
        <v>(107)高市工建築字第00684-01號</v>
      </c>
      <c r="D310" t="str">
        <f>"108/11/08"</f>
        <v>108/11/08</v>
      </c>
      <c r="E310" t="str">
        <f>"2019/11/6 上午 12:00:00"</f>
        <v>2019/11/6 上午 12:00:00</v>
      </c>
      <c r="F310" t="str">
        <f>"A1"</f>
        <v>A1</v>
      </c>
    </row>
    <row r="311" spans="1:6" ht="16.5">
      <c r="A311" t="str">
        <f>"AA007123863"</f>
        <v>AA007123863</v>
      </c>
      <c r="B311" t="str">
        <f>"頂蚵子寮段等4戶新建工程"</f>
        <v>頂蚵子寮段等4戶新建工程</v>
      </c>
      <c r="C311" t="str">
        <f>"(107)高市工建築字第01764~01767號"</f>
        <v>(107)高市工建築字第01764~01767號</v>
      </c>
      <c r="D311" t="str">
        <f>"108/11/19"</f>
        <v>108/11/19</v>
      </c>
      <c r="E311" t="str">
        <f>"2019/11/18 上午 12:00:00"</f>
        <v>2019/11/18 上午 12:00:00</v>
      </c>
      <c r="F311" t="str">
        <f>"A1"</f>
        <v>A1</v>
      </c>
    </row>
    <row r="312" spans="1:6" ht="16.5">
      <c r="A312" t="str">
        <f>"AA007124280"</f>
        <v>AA007124280</v>
      </c>
      <c r="B312" t="str">
        <f>"佐相建設10戶住宅新建工程"</f>
        <v>佐相建設10戶住宅新建工程</v>
      </c>
      <c r="C312" t="str">
        <f>"(107)高市工建築字第01576~01583號"</f>
        <v>(107)高市工建築字第01576~01583號</v>
      </c>
      <c r="D312" t="str">
        <f>"108/11/11"</f>
        <v>108/11/11</v>
      </c>
      <c r="E312" t="str">
        <f>"2019/10/24 上午 12:00:00"</f>
        <v>2019/10/24 上午 12:00:00</v>
      </c>
      <c r="F312" t="s">
        <v>31</v>
      </c>
    </row>
    <row r="313" spans="1:6" ht="16.5">
      <c r="A313" t="str">
        <f>"AA007127041"</f>
        <v>AA007127041</v>
      </c>
      <c r="B313" t="str">
        <f>"A1×2 陳雋錡等二戶新建工程"</f>
        <v>A1×2 陳雋錡等二戶新建工程</v>
      </c>
      <c r="C313" t="str">
        <f>"107中都建字第01745-01746號"</f>
        <v>107中都建字第01745-01746號</v>
      </c>
      <c r="D313" t="str">
        <f>"108/11/06"</f>
        <v>108/11/06</v>
      </c>
      <c r="E313" t="str">
        <f>"2019/11/4 上午 12:00:00"</f>
        <v>2019/11/4 上午 12:00:00</v>
      </c>
      <c r="F313" t="str">
        <f>"A1"</f>
        <v>A1</v>
      </c>
    </row>
    <row r="314" spans="1:6" ht="16.5">
      <c r="A314" t="str">
        <f>"AA007129713"</f>
        <v>AA007129713</v>
      </c>
      <c r="B314" t="str">
        <f>"許經緯-住宅新建工程"</f>
        <v>許經緯-住宅新建工程</v>
      </c>
      <c r="C314" t="str">
        <f>"(107)桃市都建執照字第會壢00903號"</f>
        <v>(107)桃市都建執照字第會壢00903號</v>
      </c>
      <c r="D314" t="str">
        <f>"108/11/29"</f>
        <v>108/11/29</v>
      </c>
      <c r="E314" t="str">
        <f>"2019/11/27 上午 12:00:00"</f>
        <v>2019/11/27 上午 12:00:00</v>
      </c>
      <c r="F314" t="s">
        <v>30</v>
      </c>
    </row>
    <row r="315" spans="1:6" ht="16.5">
      <c r="A315" t="str">
        <f>"AA007130472"</f>
        <v>AA007130472</v>
      </c>
      <c r="B315" t="str">
        <f>"A1×6 京站建設住宅新建工程"</f>
        <v>A1×6 京站建設住宅新建工程</v>
      </c>
      <c r="C315" t="s">
        <v>39</v>
      </c>
      <c r="D315" t="str">
        <f>"108/11/11"</f>
        <v>108/11/11</v>
      </c>
      <c r="E315" t="str">
        <f>"2019/11/11 上午 12:00:00"</f>
        <v>2019/11/11 上午 12:00:00</v>
      </c>
      <c r="F315" t="str">
        <f aca="true" t="shared" si="5" ref="F315:F324">"A1"</f>
        <v>A1</v>
      </c>
    </row>
    <row r="316" spans="1:6" ht="16.5">
      <c r="A316" t="str">
        <f>"AA007130810"</f>
        <v>AA007130810</v>
      </c>
      <c r="B316" t="str">
        <f>"鹽埔新高段10戶住宅新建工程"</f>
        <v>鹽埔新高段10戶住宅新建工程</v>
      </c>
      <c r="C316" t="str">
        <f>"(107)屏府城管建(鹽)字第00813~00821號"</f>
        <v>(107)屏府城管建(鹽)字第00813~00821號</v>
      </c>
      <c r="D316" t="str">
        <f>"108/11/11"</f>
        <v>108/11/11</v>
      </c>
      <c r="E316" t="str">
        <f>"2019/10/30 上午 12:00:00"</f>
        <v>2019/10/30 上午 12:00:00</v>
      </c>
      <c r="F316" t="str">
        <f t="shared" si="5"/>
        <v>A1</v>
      </c>
    </row>
    <row r="317" spans="1:6" ht="16.5">
      <c r="A317" t="str">
        <f>"AA007132007"</f>
        <v>AA007132007</v>
      </c>
      <c r="B317" t="str">
        <f>"A1-乾翔建設太保段6戶住宅新建工程"</f>
        <v>A1-乾翔建設太保段6戶住宅新建工程</v>
      </c>
      <c r="C317" t="str">
        <f>"(107)嘉府經管執字第00105~00110號"</f>
        <v>(107)嘉府經管執字第00105~00110號</v>
      </c>
      <c r="D317" t="str">
        <f>"108/11/26"</f>
        <v>108/11/26</v>
      </c>
      <c r="E317" t="str">
        <f>"2019/11/26 上午 12:00:00"</f>
        <v>2019/11/26 上午 12:00:00</v>
      </c>
      <c r="F317" t="str">
        <f t="shared" si="5"/>
        <v>A1</v>
      </c>
    </row>
    <row r="318" spans="1:6" ht="16.5">
      <c r="A318" t="str">
        <f>"AA007132270"</f>
        <v>AA007132270</v>
      </c>
      <c r="B318" t="str">
        <f>"A1-金宇泰建設民雄鄉崙子頂段住宅新建工程(AG)"</f>
        <v>A1-金宇泰建設民雄鄉崙子頂段住宅新建工程(AG)</v>
      </c>
      <c r="C318" t="str">
        <f>"107嘉民鄉建執字第0139-0148;0177-0183號"</f>
        <v>107嘉民鄉建執字第0139-0148;0177-0183號</v>
      </c>
      <c r="D318" t="str">
        <f>"108/11/25"</f>
        <v>108/11/25</v>
      </c>
      <c r="E318" t="str">
        <f>"2019/11/22 上午 12:00:00"</f>
        <v>2019/11/22 上午 12:00:00</v>
      </c>
      <c r="F318" t="str">
        <f t="shared" si="5"/>
        <v>A1</v>
      </c>
    </row>
    <row r="319" spans="1:6" ht="16.5">
      <c r="A319" t="str">
        <f>"AA007132280"</f>
        <v>AA007132280</v>
      </c>
      <c r="B319" t="str">
        <f>"A1-金宇泰建設民雄鄉崙子頂段住宅新建工程(BEF)"</f>
        <v>A1-金宇泰建設民雄鄉崙子頂段住宅新建工程(BEF)</v>
      </c>
      <c r="C319" t="str">
        <f>"107嘉民鄉建執字第0149-0176號"</f>
        <v>107嘉民鄉建執字第0149-0176號</v>
      </c>
      <c r="D319" t="str">
        <f>"108/11/25"</f>
        <v>108/11/25</v>
      </c>
      <c r="E319" t="str">
        <f>"2019/11/22 上午 12:00:00"</f>
        <v>2019/11/22 上午 12:00:00</v>
      </c>
      <c r="F319" t="str">
        <f t="shared" si="5"/>
        <v>A1</v>
      </c>
    </row>
    <row r="320" spans="1:6" ht="16.5">
      <c r="A320" t="str">
        <f>"AA007132652"</f>
        <v>AA007132652</v>
      </c>
      <c r="B320" t="str">
        <f>"A1x5 煌庭建設有限公司五戶住宅新建工程"</f>
        <v>A1x5 煌庭建設有限公司五戶住宅新建工程</v>
      </c>
      <c r="C320" t="str">
        <f>"(107)永鄉建字第0010945~0010949號 "</f>
        <v>(107)永鄉建字第0010945~0010949號 </v>
      </c>
      <c r="D320" t="str">
        <f>"108/11/20"</f>
        <v>108/11/20</v>
      </c>
      <c r="E320" t="str">
        <f>"2019/11/20 上午 12:00:00"</f>
        <v>2019/11/20 上午 12:00:00</v>
      </c>
      <c r="F320" t="str">
        <f t="shared" si="5"/>
        <v>A1</v>
      </c>
    </row>
    <row r="321" spans="1:6" ht="16.5">
      <c r="A321" t="str">
        <f>"AA007133209"</f>
        <v>AA007133209</v>
      </c>
      <c r="B321" t="str">
        <f>"A1-廖勇嘉住宅新建工程"</f>
        <v>A1-廖勇嘉住宅新建工程</v>
      </c>
      <c r="C321" t="str">
        <f>"107雲營建字第977號"</f>
        <v>107雲營建字第977號</v>
      </c>
      <c r="D321" t="str">
        <f>"108/11/05"</f>
        <v>108/11/05</v>
      </c>
      <c r="E321" t="str">
        <f>"2019/11/5 上午 12:00:00"</f>
        <v>2019/11/5 上午 12:00:00</v>
      </c>
      <c r="F321" t="str">
        <f t="shared" si="5"/>
        <v>A1</v>
      </c>
    </row>
    <row r="322" spans="1:6" ht="16.5">
      <c r="A322" t="str">
        <f>"AA007133969"</f>
        <v>AA007133969</v>
      </c>
      <c r="B322" t="str">
        <f>"蕭景中(4Fx1戶)住宅"</f>
        <v>蕭景中(4Fx1戶)住宅</v>
      </c>
      <c r="C322" t="str">
        <f>"(107)南工造字第03606號"</f>
        <v>(107)南工造字第03606號</v>
      </c>
      <c r="D322" t="str">
        <f>"108/11/16"</f>
        <v>108/11/16</v>
      </c>
      <c r="E322" t="str">
        <f>"2019/11/15 上午 12:00:00"</f>
        <v>2019/11/15 上午 12:00:00</v>
      </c>
      <c r="F322" t="str">
        <f t="shared" si="5"/>
        <v>A1</v>
      </c>
    </row>
    <row r="323" spans="1:6" ht="16.5">
      <c r="A323" t="str">
        <f>"AA007133981"</f>
        <v>AA007133981</v>
      </c>
      <c r="B323" t="str">
        <f>"豐嶸建設 住宅新建工程"</f>
        <v>豐嶸建設 住宅新建工程</v>
      </c>
      <c r="C323" t="str">
        <f>"(107)高市工建築字第01713~01732號"</f>
        <v>(107)高市工建築字第01713~01732號</v>
      </c>
      <c r="D323" t="str">
        <f>"108/11/26"</f>
        <v>108/11/26</v>
      </c>
      <c r="E323" t="str">
        <f>"2019/11/25 上午 12:00:00"</f>
        <v>2019/11/25 上午 12:00:00</v>
      </c>
      <c r="F323" t="str">
        <f t="shared" si="5"/>
        <v>A1</v>
      </c>
    </row>
    <row r="324" spans="1:6" ht="16.5">
      <c r="A324" t="str">
        <f>"AA007135885"</f>
        <v>AA007135885</v>
      </c>
      <c r="B324" t="str">
        <f>"蔡玉美-住宅新建工程"</f>
        <v>蔡玉美-住宅新建工程</v>
      </c>
      <c r="C324" t="str">
        <f>"(107)(雲)營建字第00353號"</f>
        <v>(107)(雲)營建字第00353號</v>
      </c>
      <c r="D324" t="str">
        <f>"108/11/09"</f>
        <v>108/11/09</v>
      </c>
      <c r="E324" t="str">
        <f>"2019/11/8 上午 12:00:00"</f>
        <v>2019/11/8 上午 12:00:00</v>
      </c>
      <c r="F324" t="str">
        <f t="shared" si="5"/>
        <v>A1</v>
      </c>
    </row>
    <row r="325" spans="1:6" ht="16.5">
      <c r="A325" t="str">
        <f>"AA007136863"</f>
        <v>AA007136863</v>
      </c>
      <c r="B325" t="str">
        <f>"明和建設有限公司  代表人:何溪明 新建工程"</f>
        <v>明和建設有限公司  代表人:何溪明 新建工程</v>
      </c>
      <c r="C325" t="str">
        <f>"(107)桃市都建執照字第會壢00825號"</f>
        <v>(107)桃市都建執照字第會壢00825號</v>
      </c>
      <c r="D325" t="str">
        <f>"108/11/19"</f>
        <v>108/11/19</v>
      </c>
      <c r="E325" t="str">
        <f>"2019/11/6 上午 12:00:00"</f>
        <v>2019/11/6 上午 12:00:00</v>
      </c>
      <c r="F325" t="s">
        <v>6</v>
      </c>
    </row>
    <row r="326" spans="1:6" ht="16.5">
      <c r="A326" t="str">
        <f>"AA007137443"</f>
        <v>AA007137443</v>
      </c>
      <c r="B326" t="str">
        <f>"C1交通部高速公路局中區養護工程分局國道1號員林交流道加油站新建工程"</f>
        <v>C1交通部高速公路局中區養護工程分局國道1號員林交流道加油站新建工程</v>
      </c>
      <c r="C326" t="str">
        <f>"107國道建字第00009號"</f>
        <v>107國道建字第00009號</v>
      </c>
      <c r="D326" t="str">
        <f>"108/11/19"</f>
        <v>108/11/19</v>
      </c>
      <c r="E326" t="str">
        <f>"2019/11/12 上午 12:00:00"</f>
        <v>2019/11/12 上午 12:00:00</v>
      </c>
      <c r="F326" t="s">
        <v>6</v>
      </c>
    </row>
    <row r="327" spans="1:6" ht="16.5">
      <c r="A327" t="str">
        <f>"AA007137472"</f>
        <v>AA007137472</v>
      </c>
      <c r="B327" t="str">
        <f>"A1 楊忠慶住宅新建工程"</f>
        <v>A1 楊忠慶住宅新建工程</v>
      </c>
      <c r="C327" t="str">
        <f>"107府建管建字第0226648號"</f>
        <v>107府建管建字第0226648號</v>
      </c>
      <c r="D327" t="str">
        <f>"108/11/28"</f>
        <v>108/11/28</v>
      </c>
      <c r="E327" t="str">
        <f>"2019/11/28 上午 12:00:00"</f>
        <v>2019/11/28 上午 12:00:00</v>
      </c>
      <c r="F327" t="str">
        <f>"A1"</f>
        <v>A1</v>
      </c>
    </row>
    <row r="328" spans="1:6" ht="16.5">
      <c r="A328" t="str">
        <f>"AA007137755"</f>
        <v>AA007137755</v>
      </c>
      <c r="B328" t="s">
        <v>40</v>
      </c>
      <c r="C328" t="str">
        <f>"107林建字第00374號"</f>
        <v>107林建字第00374號</v>
      </c>
      <c r="D328" t="str">
        <f>"108/11/08"</f>
        <v>108/11/08</v>
      </c>
      <c r="E328" t="str">
        <f>"2019/10/29 上午 12:00:00"</f>
        <v>2019/10/29 上午 12:00:00</v>
      </c>
      <c r="F328" t="s">
        <v>6</v>
      </c>
    </row>
    <row r="329" spans="1:6" ht="16.5">
      <c r="A329" t="str">
        <f>"AA007138173"</f>
        <v>AA007138173</v>
      </c>
      <c r="B329" t="str">
        <f>"萬嘉建設 觀音區廣福段集合住宅新建工程"</f>
        <v>萬嘉建設 觀音區廣福段集合住宅新建工程</v>
      </c>
      <c r="C329" t="str">
        <f>"(107)桃市都建執照字第會觀00946號"</f>
        <v>(107)桃市都建執照字第會觀00946號</v>
      </c>
      <c r="D329" t="str">
        <f>"108/11/26"</f>
        <v>108/11/26</v>
      </c>
      <c r="E329" t="str">
        <f>"2019/11/20 上午 12:00:00"</f>
        <v>2019/11/20 上午 12:00:00</v>
      </c>
      <c r="F329" t="s">
        <v>9</v>
      </c>
    </row>
    <row r="330" spans="1:6" ht="16.5">
      <c r="A330" t="str">
        <f>"AA007140414"</f>
        <v>AA007140414</v>
      </c>
      <c r="B330" t="str">
        <f>"泰驊建設開發有限公司住宅新建工程"</f>
        <v>泰驊建設開發有限公司住宅新建工程</v>
      </c>
      <c r="C330" t="str">
        <f>"(107)高市工建築字第01946-01949號"</f>
        <v>(107)高市工建築字第01946-01949號</v>
      </c>
      <c r="D330" t="str">
        <f>"108/11/18"</f>
        <v>108/11/18</v>
      </c>
      <c r="E330" t="str">
        <f>"2019/11/17 上午 12:00:00"</f>
        <v>2019/11/17 上午 12:00:00</v>
      </c>
      <c r="F330" t="str">
        <f>"A1"</f>
        <v>A1</v>
      </c>
    </row>
    <row r="331" spans="1:6" ht="16.5">
      <c r="A331" t="str">
        <f>"AA007140460"</f>
        <v>AA007140460</v>
      </c>
      <c r="B331" t="s">
        <v>41</v>
      </c>
      <c r="C331" t="str">
        <f>"106鶯建字第00062號"</f>
        <v>106鶯建字第00062號</v>
      </c>
      <c r="D331" t="str">
        <f>"108/11/13"</f>
        <v>108/11/13</v>
      </c>
      <c r="E331" t="str">
        <f>"2019/11/13 上午 12:00:00"</f>
        <v>2019/11/13 上午 12:00:00</v>
      </c>
      <c r="F331" t="s">
        <v>6</v>
      </c>
    </row>
    <row r="332" spans="1:6" ht="16.5">
      <c r="A332" t="str">
        <f>"AA007140713"</f>
        <v>AA007140713</v>
      </c>
      <c r="B332" t="str">
        <f>"劉邦釧 農舍新建工程"</f>
        <v>劉邦釧 農舍新建工程</v>
      </c>
      <c r="C332" t="str">
        <f>"(107)桃市都建執照字第會壢00907號"</f>
        <v>(107)桃市都建執照字第會壢00907號</v>
      </c>
      <c r="D332" t="str">
        <f>"108/11/11"</f>
        <v>108/11/11</v>
      </c>
      <c r="E332" t="str">
        <f>"2019/11/5 上午 12:00:00"</f>
        <v>2019/11/5 上午 12:00:00</v>
      </c>
      <c r="F332" t="str">
        <f>"A1"</f>
        <v>A1</v>
      </c>
    </row>
    <row r="333" spans="1:6" ht="16.5">
      <c r="A333" t="str">
        <f>"AA007141144"</f>
        <v>AA007141144</v>
      </c>
      <c r="B333" t="str">
        <f>"陳順興商店新建工程"</f>
        <v>陳順興商店新建工程</v>
      </c>
      <c r="C333" t="str">
        <f>"107.9.10建管建字第00593~595號"</f>
        <v>107.9.10建管建字第00593~595號</v>
      </c>
      <c r="D333" t="str">
        <f>"108/11/25"</f>
        <v>108/11/25</v>
      </c>
      <c r="E333" t="str">
        <f>"2019/11/22 上午 12:00:00"</f>
        <v>2019/11/22 上午 12:00:00</v>
      </c>
      <c r="F333" t="str">
        <f>"A1"</f>
        <v>A1</v>
      </c>
    </row>
    <row r="334" spans="1:6" ht="16.5">
      <c r="A334" t="str">
        <f>"AA007141280"</f>
        <v>AA007141280</v>
      </c>
      <c r="B334" t="str">
        <f>"C1*2上潔科技有限公司廠房新建工程"</f>
        <v>C1*2上潔科技有限公司廠房新建工程</v>
      </c>
      <c r="C334" t="str">
        <f>"(107)(雲)營建字第00971.00972號"</f>
        <v>(107)(雲)營建字第00971.00972號</v>
      </c>
      <c r="D334" t="str">
        <f>"108/11/09"</f>
        <v>108/11/09</v>
      </c>
      <c r="E334" t="str">
        <f>"2019/11/8 上午 12:00:00"</f>
        <v>2019/11/8 上午 12:00:00</v>
      </c>
      <c r="F334" t="str">
        <f>"C1"</f>
        <v>C1</v>
      </c>
    </row>
    <row r="335" spans="1:6" ht="16.5">
      <c r="A335" t="str">
        <f>"AA007141528"</f>
        <v>AA007141528</v>
      </c>
      <c r="B335" t="str">
        <f>"羅明坤補習(訓練)班新建工程"</f>
        <v>羅明坤補習(訓練)班新建工程</v>
      </c>
      <c r="C335" t="str">
        <f>"(107)府建字第00449號"</f>
        <v>(107)府建字第00449號</v>
      </c>
      <c r="D335" t="str">
        <f>"108/11/18"</f>
        <v>108/11/18</v>
      </c>
      <c r="E335" t="str">
        <f>"2019/11/12 上午 12:00:00"</f>
        <v>2019/11/12 上午 12:00:00</v>
      </c>
      <c r="F335" t="s">
        <v>6</v>
      </c>
    </row>
    <row r="336" spans="1:6" ht="16.5">
      <c r="A336" t="str">
        <f>"AA007142311"</f>
        <v>AA007142311</v>
      </c>
      <c r="B336" t="str">
        <f>"楊富榮住宅新建工程"</f>
        <v>楊富榮住宅新建工程</v>
      </c>
      <c r="C336" t="str">
        <f>"(107)南工造字第03925號"</f>
        <v>(107)南工造字第03925號</v>
      </c>
      <c r="D336" t="str">
        <f>"108/11/09"</f>
        <v>108/11/09</v>
      </c>
      <c r="E336" t="str">
        <f>"2019/11/6 上午 12:00:00"</f>
        <v>2019/11/6 上午 12:00:00</v>
      </c>
      <c r="F336" t="str">
        <f>"A1"</f>
        <v>A1</v>
      </c>
    </row>
    <row r="337" spans="1:6" ht="16.5">
      <c r="A337" t="str">
        <f>"AA007142922"</f>
        <v>AA007142922</v>
      </c>
      <c r="B337" t="str">
        <f>"A1-全懿開發有限公司嘉太段四戶住宅新建工程"</f>
        <v>A1-全懿開發有限公司嘉太段四戶住宅新建工程</v>
      </c>
      <c r="C337" t="str">
        <f>"(107)嘉府經管執字第00121~124號"</f>
        <v>(107)嘉府經管執字第00121~124號</v>
      </c>
      <c r="D337" t="str">
        <f>"108/11/07"</f>
        <v>108/11/07</v>
      </c>
      <c r="E337" t="str">
        <f>"2019/11/7 上午 12:00:00"</f>
        <v>2019/11/7 上午 12:00:00</v>
      </c>
      <c r="F337" t="str">
        <f>"A1"</f>
        <v>A1</v>
      </c>
    </row>
    <row r="338" spans="1:6" ht="16.5">
      <c r="A338" t="str">
        <f>"AA007143041"</f>
        <v>AA007143041</v>
      </c>
      <c r="B338" t="str">
        <f>"B1 林淑芬等店舖.住宅新建工程"</f>
        <v>B1 林淑芬等店舖.住宅新建工程</v>
      </c>
      <c r="C338" t="str">
        <f>"107中都建字第02028號"</f>
        <v>107中都建字第02028號</v>
      </c>
      <c r="D338" t="str">
        <f>"108/11/02"</f>
        <v>108/11/02</v>
      </c>
      <c r="E338" t="str">
        <f>"2019/10/28 上午 12:00:00"</f>
        <v>2019/10/28 上午 12:00:00</v>
      </c>
      <c r="F338" t="str">
        <f>"B1"</f>
        <v>B1</v>
      </c>
    </row>
    <row r="339" spans="1:6" ht="16.5">
      <c r="A339" t="str">
        <f>"AA007143131"</f>
        <v>AA007143131</v>
      </c>
      <c r="B339" t="str">
        <f>"陳嗣舜住宅新建工程"</f>
        <v>陳嗣舜住宅新建工程</v>
      </c>
      <c r="C339" t="str">
        <f>"(107)南工造字第01737-01號"</f>
        <v>(107)南工造字第01737-01號</v>
      </c>
      <c r="D339" t="str">
        <f>"108/11/18"</f>
        <v>108/11/18</v>
      </c>
      <c r="E339" t="str">
        <f>"2019/11/15 上午 12:00:00"</f>
        <v>2019/11/15 上午 12:00:00</v>
      </c>
      <c r="F339" t="str">
        <f>"A1"</f>
        <v>A1</v>
      </c>
    </row>
    <row r="340" spans="1:6" ht="16.5">
      <c r="A340" t="str">
        <f>"AA007143280"</f>
        <v>AA007143280</v>
      </c>
      <c r="B340" t="str">
        <f>"高敏娟(5Fx1戶)住宅"</f>
        <v>高敏娟(5Fx1戶)住宅</v>
      </c>
      <c r="C340" t="str">
        <f>"(107)南工造字第03978號"</f>
        <v>(107)南工造字第03978號</v>
      </c>
      <c r="D340" t="str">
        <f>"108/11/26"</f>
        <v>108/11/26</v>
      </c>
      <c r="E340" t="str">
        <f>"2019/11/26 上午 12:00:00"</f>
        <v>2019/11/26 上午 12:00:00</v>
      </c>
      <c r="F340" t="str">
        <f>"A1"</f>
        <v>A1</v>
      </c>
    </row>
    <row r="341" spans="1:6" ht="16.5">
      <c r="A341" t="str">
        <f>"AA007143472"</f>
        <v>AA007143472</v>
      </c>
      <c r="B341" t="str">
        <f>"得邑建設仁勇段A棟等5戶房屋新建工程"</f>
        <v>得邑建設仁勇段A棟等5戶房屋新建工程</v>
      </c>
      <c r="C341" t="str">
        <f>"(107)高市工建築字第02009~02010號"</f>
        <v>(107)高市工建築字第02009~02010號</v>
      </c>
      <c r="D341" t="str">
        <f>"108/11/18"</f>
        <v>108/11/18</v>
      </c>
      <c r="E341" t="str">
        <f>"2019/11/13 上午 12:00:00"</f>
        <v>2019/11/13 上午 12:00:00</v>
      </c>
      <c r="F341" t="s">
        <v>9</v>
      </c>
    </row>
    <row r="342" spans="1:6" ht="16.5">
      <c r="A342" t="str">
        <f>"AA007143618"</f>
        <v>AA007143618</v>
      </c>
      <c r="B342" t="str">
        <f>"呈豐建築開發有限公司 代表人：王忠聖(3Fx20戶)住宅"</f>
        <v>呈豐建築開發有限公司 代表人：王忠聖(3Fx20戶)住宅</v>
      </c>
      <c r="C342" t="str">
        <f>"(107)南工造字第03957號"</f>
        <v>(107)南工造字第03957號</v>
      </c>
      <c r="D342" t="str">
        <f>"108/11/07"</f>
        <v>108/11/07</v>
      </c>
      <c r="E342" t="str">
        <f>"2019/11/5 上午 12:00:00"</f>
        <v>2019/11/5 上午 12:00:00</v>
      </c>
      <c r="F342" t="s">
        <v>6</v>
      </c>
    </row>
    <row r="343" spans="1:6" ht="16.5">
      <c r="A343" t="str">
        <f>"AA007143863"</f>
        <v>AA007143863</v>
      </c>
      <c r="B343" t="str">
        <f>"得邑建設仁勇段B棟等5戶房屋新建工程"</f>
        <v>得邑建設仁勇段B棟等5戶房屋新建工程</v>
      </c>
      <c r="C343" t="str">
        <f>"(107)高市工建築字第02053~02054號"</f>
        <v>(107)高市工建築字第02053~02054號</v>
      </c>
      <c r="D343" t="str">
        <f>"108/11/18"</f>
        <v>108/11/18</v>
      </c>
      <c r="E343" t="str">
        <f>"2019/11/13 上午 12:00:00"</f>
        <v>2019/11/13 上午 12:00:00</v>
      </c>
      <c r="F343" t="s">
        <v>31</v>
      </c>
    </row>
    <row r="344" spans="1:6" ht="16.5">
      <c r="A344" t="str">
        <f>"AA007145090"</f>
        <v>AA007145090</v>
      </c>
      <c r="B344" t="str">
        <f>"吳林月女住宅新建工程"</f>
        <v>吳林月女住宅新建工程</v>
      </c>
      <c r="C344" t="str">
        <f>"107.9.5建管建字第00586號"</f>
        <v>107.9.5建管建字第00586號</v>
      </c>
      <c r="D344" t="str">
        <f>"108/11/04"</f>
        <v>108/11/04</v>
      </c>
      <c r="E344" t="str">
        <f>"2019/11/1 上午 12:00:00"</f>
        <v>2019/11/1 上午 12:00:00</v>
      </c>
      <c r="F344" t="str">
        <f>"A1"</f>
        <v>A1</v>
      </c>
    </row>
    <row r="345" spans="1:6" ht="16.5">
      <c r="A345" t="str">
        <f>"AA007145910"</f>
        <v>AA007145910</v>
      </c>
      <c r="B345" t="str">
        <f>"台南椅業(1Fx1戶)廠房"</f>
        <v>台南椅業(1Fx1戶)廠房</v>
      </c>
      <c r="C345" t="str">
        <f>"(107)南工造字第03904號"</f>
        <v>(107)南工造字第03904號</v>
      </c>
      <c r="D345" t="str">
        <f>"108/11/12"</f>
        <v>108/11/12</v>
      </c>
      <c r="E345" t="str">
        <f>"2019/11/11 上午 12:00:00"</f>
        <v>2019/11/11 上午 12:00:00</v>
      </c>
      <c r="F345" t="str">
        <f>"C1"</f>
        <v>C1</v>
      </c>
    </row>
    <row r="346" spans="1:6" ht="16.5">
      <c r="A346" t="str">
        <f>"AA007145981"</f>
        <v>AA007145981</v>
      </c>
      <c r="B346" t="str">
        <f>"承安建設有限公司 代表人：林進順(4Fx8戶)住宅"</f>
        <v>承安建設有限公司 代表人：林進順(4Fx8戶)住宅</v>
      </c>
      <c r="C346" t="str">
        <f>"(107)南工造字第03934~03941號"</f>
        <v>(107)南工造字第03934~03941號</v>
      </c>
      <c r="D346" t="str">
        <f>"108/11/24"</f>
        <v>108/11/24</v>
      </c>
      <c r="E346" t="str">
        <f>"2019/11/20 上午 12:00:00"</f>
        <v>2019/11/20 上午 12:00:00</v>
      </c>
      <c r="F346" t="str">
        <f aca="true" t="shared" si="6" ref="F346:F352">"A1"</f>
        <v>A1</v>
      </c>
    </row>
    <row r="347" spans="1:6" ht="16.5">
      <c r="A347" t="str">
        <f>"AA007146789"</f>
        <v>AA007146789</v>
      </c>
      <c r="B347" t="str">
        <f>"陳美娥 住宅新建工程"</f>
        <v>陳美娥 住宅新建工程</v>
      </c>
      <c r="C347" t="str">
        <f>"建造執照號碼 (107)高市工建築字      第01905號  "</f>
        <v>建造執照號碼 (107)高市工建築字      第01905號  </v>
      </c>
      <c r="D347" t="str">
        <f>"108/11/26"</f>
        <v>108/11/26</v>
      </c>
      <c r="E347" t="str">
        <f>"2019/11/25 上午 12:00:00"</f>
        <v>2019/11/25 上午 12:00:00</v>
      </c>
      <c r="F347" t="str">
        <f t="shared" si="6"/>
        <v>A1</v>
      </c>
    </row>
    <row r="348" spans="1:6" ht="16.5">
      <c r="A348" t="str">
        <f>"AA007147263"</f>
        <v>AA007147263</v>
      </c>
      <c r="B348" t="str">
        <f>"A1-上禾昌建設北湖段四戶住宅新建工程"</f>
        <v>A1-上禾昌建設北湖段四戶住宅新建工程</v>
      </c>
      <c r="C348" t="str">
        <f>"107嘉市府都建執字第0381-0384號"</f>
        <v>107嘉市府都建執字第0381-0384號</v>
      </c>
      <c r="D348" t="str">
        <f>"108/11/18"</f>
        <v>108/11/18</v>
      </c>
      <c r="E348" t="str">
        <f>"2019/11/18 上午 12:00:00"</f>
        <v>2019/11/18 上午 12:00:00</v>
      </c>
      <c r="F348" t="str">
        <f t="shared" si="6"/>
        <v>A1</v>
      </c>
    </row>
    <row r="349" spans="1:6" ht="16.5">
      <c r="A349" t="str">
        <f>"AA007148036"</f>
        <v>AA007148036</v>
      </c>
      <c r="B349" t="str">
        <f>"謝博和等八戶店鋪住宅新建工程"</f>
        <v>謝博和等八戶店鋪住宅新建工程</v>
      </c>
      <c r="C349" t="str">
        <f>"(107)南工造字第03379~03386號"</f>
        <v>(107)南工造字第03379~03386號</v>
      </c>
      <c r="D349" t="str">
        <f>"108/11/06"</f>
        <v>108/11/06</v>
      </c>
      <c r="E349" t="str">
        <f>"2019/11/6 上午 12:00:00"</f>
        <v>2019/11/6 上午 12:00:00</v>
      </c>
      <c r="F349" t="str">
        <f t="shared" si="6"/>
        <v>A1</v>
      </c>
    </row>
    <row r="350" spans="1:6" ht="16.5">
      <c r="A350" t="str">
        <f>"AA007148518"</f>
        <v>AA007148518</v>
      </c>
      <c r="B350" t="str">
        <f>"A1-興達開發建設民雄鄉秀林段住宅新建工程"</f>
        <v>A1-興達開發建設民雄鄉秀林段住宅新建工程</v>
      </c>
      <c r="C350" t="str">
        <f>"107嘉民鄉建執字第091-0111號"</f>
        <v>107嘉民鄉建執字第091-0111號</v>
      </c>
      <c r="D350" t="str">
        <f>"108/11/19"</f>
        <v>108/11/19</v>
      </c>
      <c r="E350" t="str">
        <f>"2019/11/15 上午 12:00:00"</f>
        <v>2019/11/15 上午 12:00:00</v>
      </c>
      <c r="F350" t="str">
        <f t="shared" si="6"/>
        <v>A1</v>
      </c>
    </row>
    <row r="351" spans="1:6" ht="16.5">
      <c r="A351" t="str">
        <f>"AA007148618"</f>
        <v>AA007148618</v>
      </c>
      <c r="B351" t="str">
        <f>"許明盛.黃財政-住宅新建工程"</f>
        <v>許明盛.黃財政-住宅新建工程</v>
      </c>
      <c r="C351" t="str">
        <f>"(107)(雲)營建字第01096~01097號"</f>
        <v>(107)(雲)營建字第01096~01097號</v>
      </c>
      <c r="D351" t="str">
        <f>"108/11/12"</f>
        <v>108/11/12</v>
      </c>
      <c r="E351" t="str">
        <f>"2019/11/12 上午 12:00:00"</f>
        <v>2019/11/12 上午 12:00:00</v>
      </c>
      <c r="F351" t="str">
        <f t="shared" si="6"/>
        <v>A1</v>
      </c>
    </row>
    <row r="352" spans="1:6" ht="16.5">
      <c r="A352" t="str">
        <f>"AA007148803"</f>
        <v>AA007148803</v>
      </c>
      <c r="B352" t="str">
        <f>"陳麗如莿桐鄉住宅新建工程"</f>
        <v>陳麗如莿桐鄉住宅新建工程</v>
      </c>
      <c r="C352" t="str">
        <f>"(107)雲營莿建字第00047號"</f>
        <v>(107)雲營莿建字第00047號</v>
      </c>
      <c r="D352" t="str">
        <f>"108/11/24"</f>
        <v>108/11/24</v>
      </c>
      <c r="E352" t="str">
        <f>"2019/11/13 上午 12:00:00"</f>
        <v>2019/11/13 上午 12:00:00</v>
      </c>
      <c r="F352" t="str">
        <f t="shared" si="6"/>
        <v>A1</v>
      </c>
    </row>
    <row r="353" spans="1:6" ht="16.5">
      <c r="A353" t="str">
        <f>"AA007151263"</f>
        <v>AA007151263</v>
      </c>
      <c r="B353" t="str">
        <f>"C1-統一速達股份有限公司 花蓮廠(2FX1戶)  倉儲 新建工程"</f>
        <v>C1-統一速達股份有限公司 花蓮廠(2FX1戶)  倉儲 新建工程</v>
      </c>
      <c r="C353" t="str">
        <f>"花建執照字第107A0268號"</f>
        <v>花建執照字第107A0268號</v>
      </c>
      <c r="D353" t="str">
        <f>"108/11/29"</f>
        <v>108/11/29</v>
      </c>
      <c r="E353" t="str">
        <f>"2019/11/16 上午 12:00:00"</f>
        <v>2019/11/16 上午 12:00:00</v>
      </c>
      <c r="F353" t="str">
        <f>"C1"</f>
        <v>C1</v>
      </c>
    </row>
    <row r="354" spans="1:6" ht="16.5">
      <c r="A354" t="str">
        <f>"AA007151280"</f>
        <v>AA007151280</v>
      </c>
      <c r="B354" t="str">
        <f>"旭唐建設有限公司 集合住宅新建工程"</f>
        <v>旭唐建設有限公司 集合住宅新建工程</v>
      </c>
      <c r="C354" t="str">
        <f>"(107)府建字第00467號"</f>
        <v>(107)府建字第00467號</v>
      </c>
      <c r="D354" t="str">
        <f>"108/11/28"</f>
        <v>108/11/28</v>
      </c>
      <c r="E354" t="str">
        <f>"2019/11/19 上午 12:00:00"</f>
        <v>2019/11/19 上午 12:00:00</v>
      </c>
      <c r="F354" t="s">
        <v>9</v>
      </c>
    </row>
    <row r="355" spans="1:6" ht="16.5">
      <c r="A355" t="str">
        <f>"AA007151472"</f>
        <v>AA007151472</v>
      </c>
      <c r="B355" t="str">
        <f>"B1健久建設有限公司店鋪新建工程"</f>
        <v>B1健久建設有限公司店鋪新建工程</v>
      </c>
      <c r="C355" t="str">
        <f>"107中都建字第01851號"</f>
        <v>107中都建字第01851號</v>
      </c>
      <c r="D355" t="str">
        <f>"108/11/26"</f>
        <v>108/11/26</v>
      </c>
      <c r="E355" t="str">
        <f>"2019/11/25 上午 12:00:00"</f>
        <v>2019/11/25 上午 12:00:00</v>
      </c>
      <c r="F355" t="str">
        <f>"B1"</f>
        <v>B1</v>
      </c>
    </row>
    <row r="356" spans="1:6" ht="16.5">
      <c r="A356" t="str">
        <f>"AA007151795"</f>
        <v>AA007151795</v>
      </c>
      <c r="B356" t="str">
        <f>"A1 寶隆堂建設股份有限公司住宅新建工程"</f>
        <v>A1 寶隆堂建設股份有限公司住宅新建工程</v>
      </c>
      <c r="C356" t="str">
        <f>"107中都建字第02090號"</f>
        <v>107中都建字第02090號</v>
      </c>
      <c r="D356" t="str">
        <f>"108/11/05"</f>
        <v>108/11/05</v>
      </c>
      <c r="E356" t="str">
        <f>"2019/11/4 上午 12:00:00"</f>
        <v>2019/11/4 上午 12:00:00</v>
      </c>
      <c r="F356" t="str">
        <f>"A1"</f>
        <v>A1</v>
      </c>
    </row>
    <row r="357" spans="1:6" ht="16.5">
      <c r="A357" t="str">
        <f>"AA007151859"</f>
        <v>AA007151859</v>
      </c>
      <c r="B357" t="str">
        <f>"中國化學製藥股份有限公司 廠房新建工程"</f>
        <v>中國化學製藥股份有限公司 廠房新建工程</v>
      </c>
      <c r="C357" t="str">
        <f>"(107)南工造字第04102號"</f>
        <v>(107)南工造字第04102號</v>
      </c>
      <c r="D357" t="str">
        <f>"108/11/24"</f>
        <v>108/11/24</v>
      </c>
      <c r="E357" t="str">
        <f>"2019/11/22 上午 12:00:00"</f>
        <v>2019/11/22 上午 12:00:00</v>
      </c>
      <c r="F357" t="str">
        <f>"C1"</f>
        <v>C1</v>
      </c>
    </row>
    <row r="358" spans="1:6" ht="16.5">
      <c r="A358" t="str">
        <f>"AA007152119"</f>
        <v>AA007152119</v>
      </c>
      <c r="B358" t="str">
        <f>"A1x2 陳秀蕋等二名住宅新建工程"</f>
        <v>A1x2 陳秀蕋等二名住宅新建工程</v>
      </c>
      <c r="C358" t="s">
        <v>42</v>
      </c>
      <c r="D358" t="str">
        <f>"108/11/19"</f>
        <v>108/11/19</v>
      </c>
      <c r="E358" t="str">
        <f>"2019/11/19 上午 12:00:00"</f>
        <v>2019/11/19 上午 12:00:00</v>
      </c>
      <c r="F358" t="str">
        <f>"A1"</f>
        <v>A1</v>
      </c>
    </row>
    <row r="359" spans="1:6" ht="16.5">
      <c r="A359" t="str">
        <f>"AA007153248"</f>
        <v>AA007153248</v>
      </c>
      <c r="B359" t="str">
        <f>"四季開發建設等十戶住宅新建工程"</f>
        <v>四季開發建設等十戶住宅新建工程</v>
      </c>
      <c r="C359" t="str">
        <f>"(107)南工造字第04304~04313號"</f>
        <v>(107)南工造字第04304~04313號</v>
      </c>
      <c r="D359" t="str">
        <f>"108/11/26"</f>
        <v>108/11/26</v>
      </c>
      <c r="E359" t="str">
        <f>"2019/11/21 上午 12:00:00"</f>
        <v>2019/11/21 上午 12:00:00</v>
      </c>
      <c r="F359" t="str">
        <f>"A1"</f>
        <v>A1</v>
      </c>
    </row>
    <row r="360" spans="1:6" ht="16.5">
      <c r="A360" t="str">
        <f>"AA007154119"</f>
        <v>AA007154119</v>
      </c>
      <c r="B360" t="str">
        <f>"A1廖學寬等二人住宅新建工程"</f>
        <v>A1廖學寬等二人住宅新建工程</v>
      </c>
      <c r="C360" t="str">
        <f>"107中都建字第2206號"</f>
        <v>107中都建字第2206號</v>
      </c>
      <c r="D360" t="str">
        <f>"108/11/26"</f>
        <v>108/11/26</v>
      </c>
      <c r="E360" t="str">
        <f>"2019/11/26 上午 12:00:00"</f>
        <v>2019/11/26 上午 12:00:00</v>
      </c>
      <c r="F360" t="str">
        <f>"A1"</f>
        <v>A1</v>
      </c>
    </row>
    <row r="361" spans="1:6" ht="16.5">
      <c r="A361" t="str">
        <f>"AA007154131"</f>
        <v>AA007154131</v>
      </c>
      <c r="B361" t="str">
        <f>"穩路汽車有限公司 林口區建林段店鋪住宅新建工程"</f>
        <v>穩路汽車有限公司 林口區建林段店鋪住宅新建工程</v>
      </c>
      <c r="C361" t="str">
        <f>"107林建字第00109號"</f>
        <v>107林建字第00109號</v>
      </c>
      <c r="D361" t="str">
        <f>"108/11/20"</f>
        <v>108/11/20</v>
      </c>
      <c r="E361" t="str">
        <f>"2019/11/5 上午 12:00:00"</f>
        <v>2019/11/5 上午 12:00:00</v>
      </c>
      <c r="F361" t="str">
        <f>"B1"</f>
        <v>B1</v>
      </c>
    </row>
    <row r="362" spans="1:6" ht="16.5">
      <c r="A362" t="str">
        <f>"AA007155209"</f>
        <v>AA007155209</v>
      </c>
      <c r="B362" t="str">
        <f>"俞任維俞任遠羅東鎮東榮一段店鋪新建工程"</f>
        <v>俞任維俞任遠羅東鎮東榮一段店鋪新建工程</v>
      </c>
      <c r="C362" t="str">
        <f>"107.9.27建管建字第00610-00611號"</f>
        <v>107.9.27建管建字第00610-00611號</v>
      </c>
      <c r="D362" t="str">
        <f>"108/11/27"</f>
        <v>108/11/27</v>
      </c>
      <c r="E362" t="str">
        <f>"2019/11/21 上午 12:00:00"</f>
        <v>2019/11/21 上午 12:00:00</v>
      </c>
      <c r="F362" t="str">
        <f>"B1"</f>
        <v>B1</v>
      </c>
    </row>
    <row r="363" spans="1:6" ht="16.5">
      <c r="A363" t="str">
        <f>"AA007155414"</f>
        <v>AA007155414</v>
      </c>
      <c r="B363" t="str">
        <f>"A1-李偉銘-住宅新建工程"</f>
        <v>A1-李偉銘-住宅新建工程</v>
      </c>
      <c r="C363" t="str">
        <f>"(107)虎鎮營建字第00070號"</f>
        <v>(107)虎鎮營建字第00070號</v>
      </c>
      <c r="D363" t="str">
        <f>"108/11/12"</f>
        <v>108/11/12</v>
      </c>
      <c r="E363" t="str">
        <f>"2019/11/12 上午 12:00:00"</f>
        <v>2019/11/12 上午 12:00:00</v>
      </c>
      <c r="F363" t="str">
        <f>"A1"</f>
        <v>A1</v>
      </c>
    </row>
    <row r="364" spans="1:6" ht="16.5">
      <c r="A364" t="str">
        <f>"AA007156370"</f>
        <v>AA007156370</v>
      </c>
      <c r="B364" t="str">
        <f>"詹孟書住宅新建工程"</f>
        <v>詹孟書住宅新建工程</v>
      </c>
      <c r="C364" t="str">
        <f>"(107)南工造字第04452號"</f>
        <v>(107)南工造字第04452號</v>
      </c>
      <c r="D364" t="str">
        <f>"108/11/24"</f>
        <v>108/11/24</v>
      </c>
      <c r="E364" t="str">
        <f>"2019/11/22 上午 12:00:00"</f>
        <v>2019/11/22 上午 12:00:00</v>
      </c>
      <c r="F364" t="str">
        <f>"A1"</f>
        <v>A1</v>
      </c>
    </row>
    <row r="365" spans="1:6" ht="16.5">
      <c r="A365" t="str">
        <f>"AA007158054"</f>
        <v>AA007158054</v>
      </c>
      <c r="B365" t="str">
        <f>"躍騰資產開發股份有限公司(4FX2戶)住宅"</f>
        <v>躍騰資產開發股份有限公司(4FX2戶)住宅</v>
      </c>
      <c r="C365" t="s">
        <v>43</v>
      </c>
      <c r="D365" t="str">
        <f>"108/11/13"</f>
        <v>108/11/13</v>
      </c>
      <c r="E365" t="str">
        <f>"2019/11/13 上午 12:00:00"</f>
        <v>2019/11/13 上午 12:00:00</v>
      </c>
      <c r="F365" t="str">
        <f>"A1"</f>
        <v>A1</v>
      </c>
    </row>
    <row r="366" spans="1:6" ht="16.5">
      <c r="A366" t="str">
        <f>"AA007158078"</f>
        <v>AA007158078</v>
      </c>
      <c r="B366" t="str">
        <f>"鴻業不動產有限公司新建工程"</f>
        <v>鴻業不動產有限公司新建工程</v>
      </c>
      <c r="C366" t="str">
        <f>"(107)桃市都建執照字第會楊00634-01號"</f>
        <v>(107)桃市都建執照字第會楊00634-01號</v>
      </c>
      <c r="D366" t="str">
        <f>"108/11/26"</f>
        <v>108/11/26</v>
      </c>
      <c r="E366" t="str">
        <f>"2019/11/19 上午 12:00:00"</f>
        <v>2019/11/19 上午 12:00:00</v>
      </c>
      <c r="F366" t="str">
        <f>"C1"</f>
        <v>C1</v>
      </c>
    </row>
    <row r="367" spans="1:6" ht="16.5">
      <c r="A367" t="str">
        <f>"AA007158562"</f>
        <v>AA007158562</v>
      </c>
      <c r="B367" t="str">
        <f>"晟億有限公司安定區 新吉段廠房新建工程(1Fx1戶)"</f>
        <v>晟億有限公司安定區 新吉段廠房新建工程(1Fx1戶)</v>
      </c>
      <c r="C367" t="str">
        <f>"(107)南工造字第04502號"</f>
        <v>(107)南工造字第04502號</v>
      </c>
      <c r="D367" t="str">
        <f>"108/11/03"</f>
        <v>108/11/03</v>
      </c>
      <c r="E367" t="str">
        <f>"2019/11/1 上午 12:00:00"</f>
        <v>2019/11/1 上午 12:00:00</v>
      </c>
      <c r="F367" t="str">
        <f>"C1"</f>
        <v>C1</v>
      </c>
    </row>
    <row r="368" spans="1:6" ht="16.5">
      <c r="A368" t="str">
        <f>"AA007160083"</f>
        <v>AA007160083</v>
      </c>
      <c r="B368" t="str">
        <f>"金鴻霖有限公司住宅新建工程"</f>
        <v>金鴻霖有限公司住宅新建工程</v>
      </c>
      <c r="C368" t="str">
        <f>"107雲營建字第01148號"</f>
        <v>107雲營建字第01148號</v>
      </c>
      <c r="D368" t="str">
        <f>"108/11/04"</f>
        <v>108/11/04</v>
      </c>
      <c r="E368" t="str">
        <f>"2019/10/8 上午 12:00:00"</f>
        <v>2019/10/8 上午 12:00:00</v>
      </c>
      <c r="F368" t="str">
        <f>"A1"</f>
        <v>A1</v>
      </c>
    </row>
    <row r="369" spans="1:6" ht="16.5">
      <c r="A369" t="str">
        <f>"AA007160414"</f>
        <v>AA007160414</v>
      </c>
      <c r="B369" t="str">
        <f>"A1-翁振峰住宅新建工程"</f>
        <v>A1-翁振峰住宅新建工程</v>
      </c>
      <c r="C369" t="str">
        <f>"(107)嘉民鄉建執字第00238號 "</f>
        <v>(107)嘉民鄉建執字第00238號 </v>
      </c>
      <c r="D369" t="str">
        <f>"108/11/27"</f>
        <v>108/11/27</v>
      </c>
      <c r="E369" t="str">
        <f>"2019/11/27 上午 12:00:00"</f>
        <v>2019/11/27 上午 12:00:00</v>
      </c>
      <c r="F369" t="str">
        <f>"A1"</f>
        <v>A1</v>
      </c>
    </row>
    <row r="370" spans="1:6" ht="16.5">
      <c r="A370" t="str">
        <f>"CY107160435"</f>
        <v>CY107160435</v>
      </c>
      <c r="B370" t="str">
        <f>"D1-興隆興工業股份有限公司廠房新建工程"</f>
        <v>D1-興隆興工業股份有限公司廠房新建工程</v>
      </c>
      <c r="C370" t="str">
        <f>"(106)嘉府經管執字第00074號"</f>
        <v>(106)嘉府經管執字第00074號</v>
      </c>
      <c r="D370" t="str">
        <f>"108/11/25"</f>
        <v>108/11/25</v>
      </c>
      <c r="E370" t="str">
        <f>"2019/11/11 上午 12:00:00"</f>
        <v>2019/11/11 上午 12:00:00</v>
      </c>
      <c r="F370" t="s">
        <v>19</v>
      </c>
    </row>
    <row r="371" spans="1:6" ht="16.5">
      <c r="A371" t="str">
        <f>"AA007160699"</f>
        <v>AA007160699</v>
      </c>
      <c r="B371" t="str">
        <f>"煌聖建設股份有限公司 負責人:謝煌枝(4Fx18戶)集合住宅 新建工程"</f>
        <v>煌聖建設股份有限公司 負責人:謝煌枝(4Fx18戶)集合住宅 新建工程</v>
      </c>
      <c r="C371" t="str">
        <f>"(107)南工造字第04438~04444號"</f>
        <v>(107)南工造字第04438~04444號</v>
      </c>
      <c r="D371" t="str">
        <f>"108/11/11"</f>
        <v>108/11/11</v>
      </c>
      <c r="E371">
        <f>""</f>
      </c>
      <c r="F371" t="s">
        <v>19</v>
      </c>
    </row>
    <row r="372" spans="1:6" ht="16.5">
      <c r="A372" t="str">
        <f>"AA007160832"</f>
        <v>AA007160832</v>
      </c>
      <c r="B372" t="str">
        <f>"A1x4 鑫嘉建設股份有限公司住宅新建工程"</f>
        <v>A1x4 鑫嘉建設股份有限公司住宅新建工程</v>
      </c>
      <c r="C372" t="str">
        <f>"(107)投埔鎮工(造)字第00122~00125號"</f>
        <v>(107)投埔鎮工(造)字第00122~00125號</v>
      </c>
      <c r="D372" t="str">
        <f>"108/11/06"</f>
        <v>108/11/06</v>
      </c>
      <c r="E372" t="str">
        <f>"2019/11/6 上午 12:00:00"</f>
        <v>2019/11/6 上午 12:00:00</v>
      </c>
      <c r="F372" t="str">
        <f>"A1"</f>
        <v>A1</v>
      </c>
    </row>
    <row r="373" spans="1:6" ht="16.5">
      <c r="A373" t="str">
        <f>"AA007161845"</f>
        <v>AA007161845</v>
      </c>
      <c r="B373" t="str">
        <f>"興連城建設有限公司等7戶 住宅 新建工程"</f>
        <v>興連城建設有限公司等7戶 住宅 新建工程</v>
      </c>
      <c r="C373" t="str">
        <f>"(107)高市工建築字第02139~02145號"</f>
        <v>(107)高市工建築字第02139~02145號</v>
      </c>
      <c r="D373" t="str">
        <f>"108/11/09"</f>
        <v>108/11/09</v>
      </c>
      <c r="E373" t="str">
        <f>"2019/11/9 上午 12:00:00"</f>
        <v>2019/11/9 上午 12:00:00</v>
      </c>
      <c r="F373" t="str">
        <f>"A1"</f>
        <v>A1</v>
      </c>
    </row>
    <row r="374" spans="1:6" ht="16.5">
      <c r="A374" t="str">
        <f>"AA007161859"</f>
        <v>AA007161859</v>
      </c>
      <c r="B374" t="str">
        <f>"B1 陳梅齡等三人店鋪.辦公室新建工程"</f>
        <v>B1 陳梅齡等三人店鋪.辦公室新建工程</v>
      </c>
      <c r="C374" t="str">
        <f>"107中都建字第02331號"</f>
        <v>107中都建字第02331號</v>
      </c>
      <c r="D374" t="str">
        <f>"108/11/20"</f>
        <v>108/11/20</v>
      </c>
      <c r="E374" t="str">
        <f>"2019/11/18 上午 12:00:00"</f>
        <v>2019/11/18 上午 12:00:00</v>
      </c>
      <c r="F374" t="str">
        <f>"B1"</f>
        <v>B1</v>
      </c>
    </row>
    <row r="375" spans="1:6" ht="16.5">
      <c r="A375" t="str">
        <f>"AA007161863"</f>
        <v>AA007161863</v>
      </c>
      <c r="B375" t="str">
        <f>"富立旺開發設計有限公司北勢段10戶住宅(3F×10戶)"</f>
        <v>富立旺開發設計有限公司北勢段10戶住宅(3F×10戶)</v>
      </c>
      <c r="C375" t="str">
        <f>"(107)南工造字第03962~03971號"</f>
        <v>(107)南工造字第03962~03971號</v>
      </c>
      <c r="D375" t="str">
        <f>"108/11/26"</f>
        <v>108/11/26</v>
      </c>
      <c r="E375" t="str">
        <f>"2019/11/26 上午 12:00:00"</f>
        <v>2019/11/26 上午 12:00:00</v>
      </c>
      <c r="F375" t="str">
        <f>"A1"</f>
        <v>A1</v>
      </c>
    </row>
    <row r="376" spans="1:6" ht="16.5">
      <c r="A376" t="str">
        <f>"AA007162258"</f>
        <v>AA007162258</v>
      </c>
      <c r="B376" t="str">
        <f>"A1-尚嶔建設有限公司店鋪住宅新建工程"</f>
        <v>A1-尚嶔建設有限公司店鋪住宅新建工程</v>
      </c>
      <c r="C376" t="str">
        <f>"107雲營建字第1200~1203號"</f>
        <v>107雲營建字第1200~1203號</v>
      </c>
      <c r="D376" t="str">
        <f>"108/11/25"</f>
        <v>108/11/25</v>
      </c>
      <c r="E376" t="str">
        <f>"2019/11/25 上午 12:00:00"</f>
        <v>2019/11/25 上午 12:00:00</v>
      </c>
      <c r="F376" t="str">
        <f>"A1"</f>
        <v>A1</v>
      </c>
    </row>
    <row r="377" spans="1:6" ht="16.5">
      <c r="A377" t="str">
        <f>"AA007162540"</f>
        <v>AA007162540</v>
      </c>
      <c r="B377" t="str">
        <f>"東鋒鋼鐵有限公司 廠房"</f>
        <v>東鋒鋼鐵有限公司 廠房</v>
      </c>
      <c r="C377" t="str">
        <f>"(107)高市工建築字第02234號"</f>
        <v>(107)高市工建築字第02234號</v>
      </c>
      <c r="D377" t="str">
        <f>"108/11/26"</f>
        <v>108/11/26</v>
      </c>
      <c r="E377" t="str">
        <f>"2019/11/24 上午 12:00:00"</f>
        <v>2019/11/24 上午 12:00:00</v>
      </c>
      <c r="F377" t="str">
        <f>"C1"</f>
        <v>C1</v>
      </c>
    </row>
    <row r="378" spans="1:6" ht="16.5">
      <c r="A378" t="str">
        <f>"AA007162593"</f>
        <v>AA007162593</v>
      </c>
      <c r="B378" t="str">
        <f>"友群建設股份有限公司 負責人:辛文欽(4Fx12戶)集合住宅　新建工程"</f>
        <v>友群建設股份有限公司 負責人:辛文欽(4Fx12戶)集合住宅　新建工程</v>
      </c>
      <c r="C378" t="str">
        <f>"(107)南工造字第04433~04437號"</f>
        <v>(107)南工造字第04433~04437號</v>
      </c>
      <c r="D378" t="str">
        <f>"108/11/21"</f>
        <v>108/11/21</v>
      </c>
      <c r="E378" t="str">
        <f>"2019/11/19 上午 12:00:00"</f>
        <v>2019/11/19 上午 12:00:00</v>
      </c>
      <c r="F378" t="s">
        <v>31</v>
      </c>
    </row>
    <row r="379" spans="1:6" ht="16.5">
      <c r="A379" t="str">
        <f>"AA007162665"</f>
        <v>AA007162665</v>
      </c>
      <c r="B379" t="str">
        <f>"A1x2順億建設開發有限公司二戶住宅新建工程"</f>
        <v>A1x2順億建設開發有限公司二戶住宅新建工程</v>
      </c>
      <c r="C379" t="s">
        <v>44</v>
      </c>
      <c r="D379" t="str">
        <f>"108/11/06"</f>
        <v>108/11/06</v>
      </c>
      <c r="E379" t="str">
        <f>"2019/11/6 上午 12:00:00"</f>
        <v>2019/11/6 上午 12:00:00</v>
      </c>
      <c r="F379" t="str">
        <f>"A1"</f>
        <v>A1</v>
      </c>
    </row>
    <row r="380" spans="1:6" ht="16.5">
      <c r="A380" t="str">
        <f>"AA007163168"</f>
        <v>AA007163168</v>
      </c>
      <c r="B380" t="str">
        <f>"A1-億群建設鹿草鄉6戶住宅新建工程"</f>
        <v>A1-億群建設鹿草鄉6戶住宅新建工程</v>
      </c>
      <c r="C380" t="str">
        <f>"(107)嘉鹿鄉建字第00013~18號"</f>
        <v>(107)嘉鹿鄉建字第00013~18號</v>
      </c>
      <c r="D380" t="str">
        <f>"108/11/27"</f>
        <v>108/11/27</v>
      </c>
      <c r="E380" t="str">
        <f>"2019/11/27 上午 12:00:00"</f>
        <v>2019/11/27 上午 12:00:00</v>
      </c>
      <c r="F380" t="str">
        <f>"A1"</f>
        <v>A1</v>
      </c>
    </row>
    <row r="381" spans="1:6" ht="16.5">
      <c r="A381" t="str">
        <f>"AA007163221"</f>
        <v>AA007163221</v>
      </c>
      <c r="B381" t="str">
        <f>"B1 峻昇機電工程有限公司廠房.住宅新建工程"</f>
        <v>B1 峻昇機電工程有限公司廠房.住宅新建工程</v>
      </c>
      <c r="C381" t="str">
        <f>"(107)鹽鄉建字第0014223號"</f>
        <v>(107)鹽鄉建字第0014223號</v>
      </c>
      <c r="D381" t="str">
        <f>"108/11/28"</f>
        <v>108/11/28</v>
      </c>
      <c r="E381" t="str">
        <f>"2019/11/25 上午 12:00:00"</f>
        <v>2019/11/25 上午 12:00:00</v>
      </c>
      <c r="F381" t="str">
        <f>"B1"</f>
        <v>B1</v>
      </c>
    </row>
    <row r="382" spans="1:6" ht="16.5">
      <c r="A382" t="str">
        <f>"AA007163708"</f>
        <v>AA007163708</v>
      </c>
      <c r="B382" t="str">
        <f>"楊嵐鈞(4Fx1戶)住宅　新建工程"</f>
        <v>楊嵐鈞(4Fx1戶)住宅　新建工程</v>
      </c>
      <c r="C382" t="str">
        <f>"(107)南工造字第03292號"</f>
        <v>(107)南工造字第03292號</v>
      </c>
      <c r="D382" t="str">
        <f>"108/11/19"</f>
        <v>108/11/19</v>
      </c>
      <c r="E382" t="str">
        <f>"2019/11/19 上午 12:00:00"</f>
        <v>2019/11/19 上午 12:00:00</v>
      </c>
      <c r="F382" t="s">
        <v>7</v>
      </c>
    </row>
    <row r="383" spans="1:6" ht="16.5">
      <c r="A383" t="str">
        <f>"AA007164054"</f>
        <v>AA007164054</v>
      </c>
      <c r="B383" t="str">
        <f>"蘇家民、蘇益辰等2人住宅增建工程"</f>
        <v>蘇家民、蘇益辰等2人住宅增建工程</v>
      </c>
      <c r="C383" t="str">
        <f>"(107)南工造字第04533號"</f>
        <v>(107)南工造字第04533號</v>
      </c>
      <c r="D383" t="str">
        <f>"108/11/13"</f>
        <v>108/11/13</v>
      </c>
      <c r="E383" t="str">
        <f>"2019/11/13 上午 12:00:00"</f>
        <v>2019/11/13 上午 12:00:00</v>
      </c>
      <c r="F383" t="str">
        <f>"A1"</f>
        <v>A1</v>
      </c>
    </row>
    <row r="384" spans="1:6" ht="16.5">
      <c r="A384" t="str">
        <f>"AA007164953"</f>
        <v>AA007164953</v>
      </c>
      <c r="B384" t="str">
        <f>"僑馥建築經理(6Fx36戶)集合新建住宅工程"</f>
        <v>僑馥建築經理(6Fx36戶)集合新建住宅工程</v>
      </c>
      <c r="C384" t="str">
        <f>"(107)南工造字第04683號"</f>
        <v>(107)南工造字第04683號</v>
      </c>
      <c r="D384" t="str">
        <f>"108/11/19"</f>
        <v>108/11/19</v>
      </c>
      <c r="E384" t="str">
        <f>"2019/11/19 上午 12:00:00"</f>
        <v>2019/11/19 上午 12:00:00</v>
      </c>
      <c r="F384" t="s">
        <v>6</v>
      </c>
    </row>
    <row r="385" spans="1:6" ht="16.5">
      <c r="A385" t="str">
        <f>"AA007165438"</f>
        <v>AA007165438</v>
      </c>
      <c r="B385" t="str">
        <f>"A1-張永達廠房新建工程"</f>
        <v>A1-張永達廠房新建工程</v>
      </c>
      <c r="C385" t="str">
        <f>"107雲營建字第01253號"</f>
        <v>107雲營建字第01253號</v>
      </c>
      <c r="D385" t="str">
        <f>"108/11/18"</f>
        <v>108/11/18</v>
      </c>
      <c r="E385" t="str">
        <f>"2019/11/18 上午 12:00:00"</f>
        <v>2019/11/18 上午 12:00:00</v>
      </c>
      <c r="F385" t="str">
        <f>"A1"</f>
        <v>A1</v>
      </c>
    </row>
    <row r="386" spans="1:6" ht="16.5">
      <c r="A386" t="str">
        <f>"AA007165773"</f>
        <v>AA007165773</v>
      </c>
      <c r="B386" t="str">
        <f>"A1-楊明謙楊淑紛楊淑慧等人店舖住宅新建工程"</f>
        <v>A1-楊明謙楊淑紛楊淑慧等人店舖住宅新建工程</v>
      </c>
      <c r="C386" t="str">
        <f>"107嘉市府都建執字第0146號"</f>
        <v>107嘉市府都建執字第0146號</v>
      </c>
      <c r="D386" t="str">
        <f>"108/11/25"</f>
        <v>108/11/25</v>
      </c>
      <c r="E386" t="str">
        <f>"2019/11/25 上午 12:00:00"</f>
        <v>2019/11/25 上午 12:00:00</v>
      </c>
      <c r="F386" t="str">
        <f>"A1"</f>
        <v>A1</v>
      </c>
    </row>
    <row r="387" spans="1:6" ht="16.5">
      <c r="A387" t="str">
        <f>"AA007165910"</f>
        <v>AA007165910</v>
      </c>
      <c r="B387" t="s">
        <v>45</v>
      </c>
      <c r="C387" t="str">
        <f>"(107)府建管(建)字第0371928、0372858號"</f>
        <v>(107)府建管(建)字第0371928、0372858號</v>
      </c>
      <c r="D387" t="str">
        <f>"108/11/14"</f>
        <v>108/11/14</v>
      </c>
      <c r="E387" t="str">
        <f>"2019/11/6 上午 12:00:00"</f>
        <v>2019/11/6 上午 12:00:00</v>
      </c>
      <c r="F387" t="s">
        <v>12</v>
      </c>
    </row>
    <row r="388" spans="1:6" ht="16.5">
      <c r="A388" t="str">
        <f>"AA007165922"</f>
        <v>AA007165922</v>
      </c>
      <c r="B388" t="str">
        <f>"A1-賴雲樞住宅新建工程"</f>
        <v>A1-賴雲樞住宅新建工程</v>
      </c>
      <c r="C388" t="str">
        <f>"107嘉市府都建執字第0180號"</f>
        <v>107嘉市府都建執字第0180號</v>
      </c>
      <c r="D388" t="str">
        <f>"108/11/25"</f>
        <v>108/11/25</v>
      </c>
      <c r="E388" t="str">
        <f>"2019/11/25 上午 12:00:00"</f>
        <v>2019/11/25 上午 12:00:00</v>
      </c>
      <c r="F388" t="str">
        <f>"A1"</f>
        <v>A1</v>
      </c>
    </row>
    <row r="389" spans="1:6" ht="16.5">
      <c r="A389" t="str">
        <f>"AA007166900"</f>
        <v>AA007166900</v>
      </c>
      <c r="B389" t="str">
        <f>"余東源住宅新建工程"</f>
        <v>余東源住宅新建工程</v>
      </c>
      <c r="C389" t="str">
        <f>"(107)高市工建築字第02483號"</f>
        <v>(107)高市工建築字第02483號</v>
      </c>
      <c r="D389" t="str">
        <f>"108/11/07"</f>
        <v>108/11/07</v>
      </c>
      <c r="E389" t="str">
        <f>"2019/10/28 上午 12:00:00"</f>
        <v>2019/10/28 上午 12:00:00</v>
      </c>
      <c r="F389" t="str">
        <f>"A1"</f>
        <v>A1</v>
      </c>
    </row>
    <row r="390" spans="1:6" ht="16.5">
      <c r="A390" t="str">
        <f>"AA007167540"</f>
        <v>AA007167540</v>
      </c>
      <c r="B390" t="str">
        <f>"高雄市鳳山區大東國小風雨球場新建工程(附切結書.無需電信設備)"</f>
        <v>高雄市鳳山區大東國小風雨球場新建工程(附切結書.無需電信設備)</v>
      </c>
      <c r="C390" t="str">
        <f>"(107)高市工建築字第01909號"</f>
        <v>(107)高市工建築字第01909號</v>
      </c>
      <c r="D390" t="str">
        <f>"108/11/28"</f>
        <v>108/11/28</v>
      </c>
      <c r="E390" t="str">
        <f>"2019/11/28 上午 12:00:00"</f>
        <v>2019/11/28 上午 12:00:00</v>
      </c>
      <c r="F390" t="str">
        <f>"A1"</f>
        <v>A1</v>
      </c>
    </row>
    <row r="391" spans="1:6" ht="16.5">
      <c r="A391" t="str">
        <f>"AA007167975"</f>
        <v>AA007167975</v>
      </c>
      <c r="B391" t="str">
        <f>"張萬金 住宅新建工程"</f>
        <v>張萬金 住宅新建工程</v>
      </c>
      <c r="C391" t="str">
        <f>"(107)高市工建築字第02502號"</f>
        <v>(107)高市工建築字第02502號</v>
      </c>
      <c r="D391" t="str">
        <f>"108/11/12"</f>
        <v>108/11/12</v>
      </c>
      <c r="E391" t="str">
        <f>"2019/11/7 上午 12:00:00"</f>
        <v>2019/11/7 上午 12:00:00</v>
      </c>
      <c r="F391" t="str">
        <f>"A1"</f>
        <v>A1</v>
      </c>
    </row>
    <row r="392" spans="1:6" ht="16.5">
      <c r="A392" t="str">
        <f>"AA007168068"</f>
        <v>AA007168068</v>
      </c>
      <c r="B392" t="str">
        <f>"李任馥-補習班住宅新建工程"</f>
        <v>李任馥-補習班住宅新建工程</v>
      </c>
      <c r="C392" t="str">
        <f>"(107)府建字第00540號"</f>
        <v>(107)府建字第00540號</v>
      </c>
      <c r="D392" t="str">
        <f>"108/11/25"</f>
        <v>108/11/25</v>
      </c>
      <c r="E392" t="str">
        <f>"2019/11/13 上午 12:00:00"</f>
        <v>2019/11/13 上午 12:00:00</v>
      </c>
      <c r="F392" t="s">
        <v>6</v>
      </c>
    </row>
    <row r="393" spans="1:6" ht="16.5">
      <c r="A393" t="str">
        <f>"AA007168550"</f>
        <v>AA007168550</v>
      </c>
      <c r="B393" t="s">
        <v>46</v>
      </c>
      <c r="C393" t="str">
        <f>"(107)芳鄉建字第0016391號"</f>
        <v>(107)芳鄉建字第0016391號</v>
      </c>
      <c r="D393" t="str">
        <f>"108/11/25"</f>
        <v>108/11/25</v>
      </c>
      <c r="E393" t="str">
        <f>"2019/11/22 上午 12:00:00"</f>
        <v>2019/11/22 上午 12:00:00</v>
      </c>
      <c r="F393" t="str">
        <f>"B1"</f>
        <v>B1</v>
      </c>
    </row>
    <row r="394" spans="1:6" ht="16.5">
      <c r="A394" t="str">
        <f>"AA007170504"</f>
        <v>AA007170504</v>
      </c>
      <c r="B394" t="str">
        <f>"顏佑璘住宅新建工程"</f>
        <v>顏佑璘住宅新建工程</v>
      </c>
      <c r="C394" t="str">
        <f>"(104)栗商建竹建字第00009號"</f>
        <v>(104)栗商建竹建字第00009號</v>
      </c>
      <c r="D394" t="str">
        <f>"108/11/18"</f>
        <v>108/11/18</v>
      </c>
      <c r="E394" t="str">
        <f>"2019/11/11 上午 12:00:00"</f>
        <v>2019/11/11 上午 12:00:00</v>
      </c>
      <c r="F394" t="s">
        <v>30</v>
      </c>
    </row>
    <row r="395" spans="1:6" ht="16.5">
      <c r="A395" t="str">
        <f>"AA007170845"</f>
        <v>AA007170845</v>
      </c>
      <c r="B395" t="str">
        <f>"程威潤住宅新建工程"</f>
        <v>程威潤住宅新建工程</v>
      </c>
      <c r="C395" t="str">
        <f>"(107)(雲)營建字第01272號"</f>
        <v>(107)(雲)營建字第01272號</v>
      </c>
      <c r="D395" t="str">
        <f>"108/11/06"</f>
        <v>108/11/06</v>
      </c>
      <c r="E395" t="str">
        <f>"2019/11/5 上午 12:00:00"</f>
        <v>2019/11/5 上午 12:00:00</v>
      </c>
      <c r="F395" t="str">
        <f aca="true" t="shared" si="7" ref="F395:F404">"A1"</f>
        <v>A1</v>
      </c>
    </row>
    <row r="396" spans="1:6" ht="16.5">
      <c r="A396" t="str">
        <f>"AA007171054"</f>
        <v>AA007171054</v>
      </c>
      <c r="B396" t="str">
        <f>"張志庸(2Fx1戶)住宅"</f>
        <v>張志庸(2Fx1戶)住宅</v>
      </c>
      <c r="C396" t="str">
        <f>"(107)南工造字第04662號"</f>
        <v>(107)南工造字第04662號</v>
      </c>
      <c r="D396" t="str">
        <f>"108/11/12"</f>
        <v>108/11/12</v>
      </c>
      <c r="E396" t="str">
        <f>"2019/11/12 上午 12:00:00"</f>
        <v>2019/11/12 上午 12:00:00</v>
      </c>
      <c r="F396" t="str">
        <f t="shared" si="7"/>
        <v>A1</v>
      </c>
    </row>
    <row r="397" spans="1:6" ht="16.5">
      <c r="A397" t="str">
        <f>"AA007171348"</f>
        <v>AA007171348</v>
      </c>
      <c r="B397" t="str">
        <f>"程建豪莿桐鄉住宅新建工程"</f>
        <v>程建豪莿桐鄉住宅新建工程</v>
      </c>
      <c r="C397" t="str">
        <f>"(107)雲營莿建字第00032號"</f>
        <v>(107)雲營莿建字第00032號</v>
      </c>
      <c r="D397" t="str">
        <f>"108/11/09"</f>
        <v>108/11/09</v>
      </c>
      <c r="E397" t="str">
        <f>"2019/11/8 上午 12:00:00"</f>
        <v>2019/11/8 上午 12:00:00</v>
      </c>
      <c r="F397" t="str">
        <f t="shared" si="7"/>
        <v>A1</v>
      </c>
    </row>
    <row r="398" spans="1:6" ht="16.5">
      <c r="A398" t="str">
        <f>"AA007171575"</f>
        <v>AA007171575</v>
      </c>
      <c r="B398" t="str">
        <f>"蘇琡雅住宅新建工程"</f>
        <v>蘇琡雅住宅新建工程</v>
      </c>
      <c r="C398" t="str">
        <f>"(107)高市工建築字第02299號"</f>
        <v>(107)高市工建築字第02299號</v>
      </c>
      <c r="D398" t="str">
        <f>"108/11/11"</f>
        <v>108/11/11</v>
      </c>
      <c r="E398" t="str">
        <f>"2019/11/4 上午 12:00:00"</f>
        <v>2019/11/4 上午 12:00:00</v>
      </c>
      <c r="F398" t="str">
        <f t="shared" si="7"/>
        <v>A1</v>
      </c>
    </row>
    <row r="399" spans="1:6" ht="16.5">
      <c r="A399" t="str">
        <f>"AA007171683"</f>
        <v>AA007171683</v>
      </c>
      <c r="B399" t="str">
        <f>"A1-逢祥建設有限公司-住宅新建工程"</f>
        <v>A1-逢祥建設有限公司-住宅新建工程</v>
      </c>
      <c r="C399" t="str">
        <f>"(107)虎鎮營建字第00082~00085號"</f>
        <v>(107)虎鎮營建字第00082~00085號</v>
      </c>
      <c r="D399" t="str">
        <f>"108/11/11"</f>
        <v>108/11/11</v>
      </c>
      <c r="E399" t="str">
        <f>"2019/11/11 上午 12:00:00"</f>
        <v>2019/11/11 上午 12:00:00</v>
      </c>
      <c r="F399" t="str">
        <f t="shared" si="7"/>
        <v>A1</v>
      </c>
    </row>
    <row r="400" spans="1:6" ht="16.5">
      <c r="A400" t="str">
        <f>"AA007171981"</f>
        <v>AA007171981</v>
      </c>
      <c r="B400" t="str">
        <f>"沈榮裕等3人2FX3戶住宅新建工程"</f>
        <v>沈榮裕等3人2FX3戶住宅新建工程</v>
      </c>
      <c r="C400" t="str">
        <f>"(107）南工造字第04843~04845 號"</f>
        <v>(107）南工造字第04843~04845 號</v>
      </c>
      <c r="D400" t="str">
        <f>"108/11/16"</f>
        <v>108/11/16</v>
      </c>
      <c r="E400" t="str">
        <f>"2019/11/15 上午 12:00:00"</f>
        <v>2019/11/15 上午 12:00:00</v>
      </c>
      <c r="F400" t="str">
        <f t="shared" si="7"/>
        <v>A1</v>
      </c>
    </row>
    <row r="401" spans="1:6" ht="16.5">
      <c r="A401" t="str">
        <f>"AA007172090"</f>
        <v>AA007172090</v>
      </c>
      <c r="B401" t="str">
        <f>"A1-久督建設水上鄉新番子寮段13戶住宅新建工程"</f>
        <v>A1-久督建設水上鄉新番子寮段13戶住宅新建工程</v>
      </c>
      <c r="C401" t="str">
        <f>"(107)嘉水鄉建執字第00096~108號"</f>
        <v>(107)嘉水鄉建執字第00096~108號</v>
      </c>
      <c r="D401" t="str">
        <f>"108/11/06"</f>
        <v>108/11/06</v>
      </c>
      <c r="E401" t="str">
        <f>"2019/11/4 上午 12:00:00"</f>
        <v>2019/11/4 上午 12:00:00</v>
      </c>
      <c r="F401" t="str">
        <f t="shared" si="7"/>
        <v>A1</v>
      </c>
    </row>
    <row r="402" spans="1:6" ht="16.5">
      <c r="A402" t="str">
        <f>"AA007172348"</f>
        <v>AA007172348</v>
      </c>
      <c r="B402" t="s">
        <v>47</v>
      </c>
      <c r="C402" t="str">
        <f>"107.2.8建管建字第00073~00088號"</f>
        <v>107.2.8建管建字第00073~00088號</v>
      </c>
      <c r="D402" t="str">
        <f>"108/11/12"</f>
        <v>108/11/12</v>
      </c>
      <c r="E402" t="str">
        <f>"2019/11/12 上午 12:00:00"</f>
        <v>2019/11/12 上午 12:00:00</v>
      </c>
      <c r="F402" t="str">
        <f t="shared" si="7"/>
        <v>A1</v>
      </c>
    </row>
    <row r="403" spans="1:6" ht="16.5">
      <c r="A403" t="str">
        <f>"AA007172630"</f>
        <v>AA007172630</v>
      </c>
      <c r="B403" t="str">
        <f>"八德區白鷺段777地號住宅新建工程"</f>
        <v>八德區白鷺段777地號住宅新建工程</v>
      </c>
      <c r="C403" t="str">
        <f>"(107)桃市都建執照字第會德01135號"</f>
        <v>(107)桃市都建執照字第會德01135號</v>
      </c>
      <c r="D403" t="str">
        <f>"108/11/27"</f>
        <v>108/11/27</v>
      </c>
      <c r="E403" t="str">
        <f>"2019/11/27 上午 12:00:00"</f>
        <v>2019/11/27 上午 12:00:00</v>
      </c>
      <c r="F403" t="str">
        <f t="shared" si="7"/>
        <v>A1</v>
      </c>
    </row>
    <row r="404" spans="1:6" ht="16.5">
      <c r="A404" t="str">
        <f>"AA007173168"</f>
        <v>AA007173168</v>
      </c>
      <c r="B404" t="str">
        <f>"高雄市燕巢區鐘公館住宅興建工程"</f>
        <v>高雄市燕巢區鐘公館住宅興建工程</v>
      </c>
      <c r="C404" t="str">
        <f>"(107)高市工建築字第02513號"</f>
        <v>(107)高市工建築字第02513號</v>
      </c>
      <c r="D404" t="str">
        <f>"108/11/19"</f>
        <v>108/11/19</v>
      </c>
      <c r="E404" t="str">
        <f>"2019/11/19 上午 12:00:00"</f>
        <v>2019/11/19 上午 12:00:00</v>
      </c>
      <c r="F404" t="str">
        <f t="shared" si="7"/>
        <v>A1</v>
      </c>
    </row>
    <row r="405" spans="1:6" ht="16.5">
      <c r="A405" t="str">
        <f>"AA007173450"</f>
        <v>AA007173450</v>
      </c>
      <c r="B405" t="str">
        <f>"C1鴻昌環保科技有限公司資源回收廠房新建工程"</f>
        <v>C1鴻昌環保科技有限公司資源回收廠房新建工程</v>
      </c>
      <c r="C405" t="str">
        <f>"107鶯建字第00206號"</f>
        <v>107鶯建字第00206號</v>
      </c>
      <c r="D405" t="str">
        <f>"108/11/21"</f>
        <v>108/11/21</v>
      </c>
      <c r="E405" t="str">
        <f>"2019/11/21 上午 12:00:00"</f>
        <v>2019/11/21 上午 12:00:00</v>
      </c>
      <c r="F405" t="s">
        <v>6</v>
      </c>
    </row>
    <row r="406" spans="1:6" ht="16.5">
      <c r="A406" t="str">
        <f>"AA007174608"</f>
        <v>AA007174608</v>
      </c>
      <c r="B406" t="str">
        <f>"和昌開發建設有限公司住宅新建工程"</f>
        <v>和昌開發建設有限公司住宅新建工程</v>
      </c>
      <c r="C406" t="str">
        <f>"107.4.23冬鄉建字第6686~6686-19號共20戶"</f>
        <v>107.4.23冬鄉建字第6686~6686-19號共20戶</v>
      </c>
      <c r="D406" t="str">
        <f>"108/11/25"</f>
        <v>108/11/25</v>
      </c>
      <c r="E406" t="str">
        <f>"2019/11/20 上午 12:00:00"</f>
        <v>2019/11/20 上午 12:00:00</v>
      </c>
      <c r="F406" t="str">
        <f>"A1"</f>
        <v>A1</v>
      </c>
    </row>
    <row r="407" spans="1:6" ht="16.5">
      <c r="A407" t="str">
        <f>"AA007175414"</f>
        <v>AA007175414</v>
      </c>
      <c r="B407" t="str">
        <f>"吉家建設有限公司3F2戶住宅新建工程"</f>
        <v>吉家建設有限公司3F2戶住宅新建工程</v>
      </c>
      <c r="C407" t="str">
        <f>"(107)南工造字第04731~04732號"</f>
        <v>(107)南工造字第04731~04732號</v>
      </c>
      <c r="D407" t="str">
        <f>"108/11/14"</f>
        <v>108/11/14</v>
      </c>
      <c r="E407" t="str">
        <f>"2019/11/14 上午 12:00:00"</f>
        <v>2019/11/14 上午 12:00:00</v>
      </c>
      <c r="F407" t="str">
        <f>"A1"</f>
        <v>A1</v>
      </c>
    </row>
    <row r="408" spans="1:6" ht="16.5">
      <c r="A408" t="str">
        <f>"AA007176013"</f>
        <v>AA007176013</v>
      </c>
      <c r="B408" t="str">
        <f>"李敏貞住宅新建工程"</f>
        <v>李敏貞住宅新建工程</v>
      </c>
      <c r="C408" t="str">
        <f>"(107)南工造字第02689-01號"</f>
        <v>(107)南工造字第02689-01號</v>
      </c>
      <c r="D408" t="str">
        <f>"108/11/06"</f>
        <v>108/11/06</v>
      </c>
      <c r="E408" t="str">
        <f>"2019/11/6 上午 12:00:00"</f>
        <v>2019/11/6 上午 12:00:00</v>
      </c>
      <c r="F408" t="str">
        <f>"A1"</f>
        <v>A1</v>
      </c>
    </row>
    <row r="409" spans="1:6" ht="16.5">
      <c r="A409" t="str">
        <f>"AA007176029"</f>
        <v>AA007176029</v>
      </c>
      <c r="B409" t="str">
        <f>"凃盈堂2F*1戶店舖住宅新建工程"</f>
        <v>凃盈堂2F*1戶店舖住宅新建工程</v>
      </c>
      <c r="C409" t="str">
        <f>"(107)南工造字第04717號"</f>
        <v>(107)南工造字第04717號</v>
      </c>
      <c r="D409" t="str">
        <f>"108/11/16"</f>
        <v>108/11/16</v>
      </c>
      <c r="E409" t="str">
        <f>"2019/11/15 上午 12:00:00"</f>
        <v>2019/11/15 上午 12:00:00</v>
      </c>
      <c r="F409" t="str">
        <f>"A1"</f>
        <v>A1</v>
      </c>
    </row>
    <row r="410" spans="1:6" ht="16.5">
      <c r="A410" t="str">
        <f>"AA007176720"</f>
        <v>AA007176720</v>
      </c>
      <c r="B410" t="str">
        <f>"交通部臺灣鐵路管理局行車人員宿舍新建工程"</f>
        <v>交通部臺灣鐵路管理局行車人員宿舍新建工程</v>
      </c>
      <c r="C410" t="str">
        <f>"(107)南工造字第04823號"</f>
        <v>(107)南工造字第04823號</v>
      </c>
      <c r="D410" t="str">
        <f>"108/11/11"</f>
        <v>108/11/11</v>
      </c>
      <c r="E410" t="str">
        <f>"2019/11/11 上午 12:00:00"</f>
        <v>2019/11/11 上午 12:00:00</v>
      </c>
      <c r="F410" t="str">
        <f>"B1"</f>
        <v>B1</v>
      </c>
    </row>
    <row r="411" spans="1:6" ht="16.5">
      <c r="A411" t="str">
        <f>"AA007176969"</f>
        <v>AA007176969</v>
      </c>
      <c r="B411" t="str">
        <f>"A1 許仁弘住宅新建工程"</f>
        <v>A1 許仁弘住宅新建工程</v>
      </c>
      <c r="C411" t="str">
        <f>"(107)心鄉建字第1070014717號"</f>
        <v>(107)心鄉建字第1070014717號</v>
      </c>
      <c r="D411" t="str">
        <f>"108/11/02"</f>
        <v>108/11/02</v>
      </c>
      <c r="E411" t="str">
        <f>"2019/11/1 上午 12:00:00"</f>
        <v>2019/11/1 上午 12:00:00</v>
      </c>
      <c r="F411" t="str">
        <f>"A1"</f>
        <v>A1</v>
      </c>
    </row>
    <row r="412" spans="1:6" ht="16.5">
      <c r="A412" t="str">
        <f>"AA007176975"</f>
        <v>AA007176975</v>
      </c>
      <c r="B412" t="str">
        <f>"A1 許仁哲住宅新建工程"</f>
        <v>A1 許仁哲住宅新建工程</v>
      </c>
      <c r="C412" t="str">
        <f>"(107)心鄉建字第1070015549號"</f>
        <v>(107)心鄉建字第1070015549號</v>
      </c>
      <c r="D412" t="str">
        <f>"108/11/02"</f>
        <v>108/11/02</v>
      </c>
      <c r="E412" t="str">
        <f>"2019/11/1 上午 12:00:00"</f>
        <v>2019/11/1 上午 12:00:00</v>
      </c>
      <c r="F412" t="str">
        <f>"A1"</f>
        <v>A1</v>
      </c>
    </row>
    <row r="413" spans="1:6" ht="16.5">
      <c r="A413" t="str">
        <f>"AA007177036"</f>
        <v>AA007177036</v>
      </c>
      <c r="B413" t="str">
        <f>"鑫大富開發建設股份有限公司 店鋪住宅 (3FX10戶) 新建工程"</f>
        <v>鑫大富開發建設股份有限公司 店鋪住宅 (3FX10戶) 新建工程</v>
      </c>
      <c r="C413" t="str">
        <f>"(107)南工造字第04812~04821號"</f>
        <v>(107)南工造字第04812~04821號</v>
      </c>
      <c r="D413" t="str">
        <f>"108/11/05"</f>
        <v>108/11/05</v>
      </c>
      <c r="E413" t="str">
        <f>"2019/11/5 上午 12:00:00"</f>
        <v>2019/11/5 上午 12:00:00</v>
      </c>
      <c r="F413" t="str">
        <f>"A1"</f>
        <v>A1</v>
      </c>
    </row>
    <row r="414" spans="1:6" ht="16.5">
      <c r="A414" t="str">
        <f>"AA007177090"</f>
        <v>AA007177090</v>
      </c>
      <c r="B414" t="str">
        <f>"A1x8 太平建設開發股份有限公司住宅新建工程"</f>
        <v>A1x8 太平建設開發股份有限公司住宅新建工程</v>
      </c>
      <c r="C414" t="str">
        <f>"(107)(雲)營建字第01284-01291號"</f>
        <v>(107)(雲)營建字第01284-01291號</v>
      </c>
      <c r="D414" t="str">
        <f>"108/11/12"</f>
        <v>108/11/12</v>
      </c>
      <c r="E414" t="str">
        <f>"2019/11/12 上午 12:00:00"</f>
        <v>2019/11/12 上午 12:00:00</v>
      </c>
      <c r="F414" t="str">
        <f>"A1"</f>
        <v>A1</v>
      </c>
    </row>
    <row r="415" spans="1:6" ht="16.5">
      <c r="A415" t="str">
        <f>"AA007178593"</f>
        <v>AA007178593</v>
      </c>
      <c r="B415" t="str">
        <f>"鉝荃有限公司負責人：張筱凰(4Fx5戶)集合住宅新建工程"</f>
        <v>鉝荃有限公司負責人：張筱凰(4Fx5戶)集合住宅新建工程</v>
      </c>
      <c r="C415" t="str">
        <f>"(107)南工造字第04877號"</f>
        <v>(107)南工造字第04877號</v>
      </c>
      <c r="D415" t="str">
        <f>"108/11/02"</f>
        <v>108/11/02</v>
      </c>
      <c r="E415" t="str">
        <f>"2019/11/1 上午 12:00:00"</f>
        <v>2019/11/1 上午 12:00:00</v>
      </c>
      <c r="F415" t="s">
        <v>9</v>
      </c>
    </row>
    <row r="416" spans="1:6" ht="16.5">
      <c r="A416" t="str">
        <f>"AA007179013"</f>
        <v>AA007179013</v>
      </c>
      <c r="B416" t="str">
        <f>"A1 張世昌住宅新建工程"</f>
        <v>A1 張世昌住宅新建工程</v>
      </c>
      <c r="C416" t="str">
        <f>"(107)府建管(建)字第0379359號"</f>
        <v>(107)府建管(建)字第0379359號</v>
      </c>
      <c r="D416" t="str">
        <f>"108/11/12"</f>
        <v>108/11/12</v>
      </c>
      <c r="E416" t="str">
        <f>"2019/11/12 上午 12:00:00"</f>
        <v>2019/11/12 上午 12:00:00</v>
      </c>
      <c r="F416" t="str">
        <f>"A1"</f>
        <v>A1</v>
      </c>
    </row>
    <row r="417" spans="1:6" ht="16.5">
      <c r="A417" t="str">
        <f>"AA007179348"</f>
        <v>AA007179348</v>
      </c>
      <c r="B417" t="str">
        <f>"A1-宬品建設湖子內段新民小段2戶住宅新建工程"</f>
        <v>A1-宬品建設湖子內段新民小段2戶住宅新建工程</v>
      </c>
      <c r="C417" t="str">
        <f>"A107嘉市府都建執字第000617、618號"</f>
        <v>A107嘉市府都建執字第000617、618號</v>
      </c>
      <c r="D417" t="str">
        <f>"108/11/27"</f>
        <v>108/11/27</v>
      </c>
      <c r="E417" t="str">
        <f>"2019/11/27 上午 12:00:00"</f>
        <v>2019/11/27 上午 12:00:00</v>
      </c>
      <c r="F417" t="str">
        <f>"A1"</f>
        <v>A1</v>
      </c>
    </row>
    <row r="418" spans="1:6" ht="16.5">
      <c r="A418" t="str">
        <f>"AA007180550"</f>
        <v>AA007180550</v>
      </c>
      <c r="B418" t="str">
        <f>"創群開發有限公司 代表人：杜曉螢(3Fx2戶)新建住宅"</f>
        <v>創群開發有限公司 代表人：杜曉螢(3Fx2戶)新建住宅</v>
      </c>
      <c r="C418" t="str">
        <f>"(107)南工造字第04934，04935號"</f>
        <v>(107)南工造字第04934，04935號</v>
      </c>
      <c r="D418" t="str">
        <f>"108/11/09"</f>
        <v>108/11/09</v>
      </c>
      <c r="E418" t="str">
        <f>"2019/11/8 上午 12:00:00"</f>
        <v>2019/11/8 上午 12:00:00</v>
      </c>
      <c r="F418" t="str">
        <f>"A1"</f>
        <v>A1</v>
      </c>
    </row>
    <row r="419" spans="1:6" ht="16.5">
      <c r="A419" t="str">
        <f>"AA007180998"</f>
        <v>AA007180998</v>
      </c>
      <c r="B419" t="str">
        <f>"皇祿建設北安段３戶住宅新建工程"</f>
        <v>皇祿建設北安段３戶住宅新建工程</v>
      </c>
      <c r="C419" t="s">
        <v>48</v>
      </c>
      <c r="D419" t="str">
        <f>"108/11/26"</f>
        <v>108/11/26</v>
      </c>
      <c r="E419" t="str">
        <f>"2019/11/26 上午 12:00:00"</f>
        <v>2019/11/26 上午 12:00:00</v>
      </c>
      <c r="F419" t="s">
        <v>7</v>
      </c>
    </row>
    <row r="420" spans="1:6" ht="16.5">
      <c r="A420" t="str">
        <f>"AA007181068"</f>
        <v>AA007181068</v>
      </c>
      <c r="B420" t="str">
        <f>"陳炳宏等4人3F*4戶住宅新建工程"</f>
        <v>陳炳宏等4人3F*4戶住宅新建工程</v>
      </c>
      <c r="C420" t="str">
        <f>"(107)南工造字第04976~04979號"</f>
        <v>(107)南工造字第04976~04979號</v>
      </c>
      <c r="D420" t="str">
        <f>"108/11/06"</f>
        <v>108/11/06</v>
      </c>
      <c r="E420" t="str">
        <f>"2019/11/6 上午 12:00:00"</f>
        <v>2019/11/6 上午 12:00:00</v>
      </c>
      <c r="F420" t="str">
        <f>"A1"</f>
        <v>A1</v>
      </c>
    </row>
    <row r="421" spans="1:6" ht="16.5">
      <c r="A421" t="str">
        <f>"AA007181708"</f>
        <v>AA007181708</v>
      </c>
      <c r="B421" t="str">
        <f>"A1-游坤林住宅新建工程"</f>
        <v>A1-游坤林住宅新建工程</v>
      </c>
      <c r="C421" t="str">
        <f>"107古營建字第00047號"</f>
        <v>107古營建字第00047號</v>
      </c>
      <c r="D421" t="str">
        <f>"108/11/25"</f>
        <v>108/11/25</v>
      </c>
      <c r="E421" t="str">
        <f>"2019/11/25 上午 12:00:00"</f>
        <v>2019/11/25 上午 12:00:00</v>
      </c>
      <c r="F421" t="str">
        <f>"A1"</f>
        <v>A1</v>
      </c>
    </row>
    <row r="422" spans="1:6" ht="16.5">
      <c r="A422" t="str">
        <f>"AA007182550"</f>
        <v>AA007182550</v>
      </c>
      <c r="B422" t="str">
        <f>"捷弘建設有限公司 負責人:陳志清 新建工程"</f>
        <v>捷弘建設有限公司 負責人:陳志清 新建工程</v>
      </c>
      <c r="C422" t="str">
        <f>"(107)桃市都建執照字第會觀01223號"</f>
        <v>(107)桃市都建執照字第會觀01223號</v>
      </c>
      <c r="D422" t="str">
        <f>"108/11/14"</f>
        <v>108/11/14</v>
      </c>
      <c r="E422" t="str">
        <f>"2019/11/5 上午 12:00:00"</f>
        <v>2019/11/5 上午 12:00:00</v>
      </c>
      <c r="F422" t="str">
        <f>"B1"</f>
        <v>B1</v>
      </c>
    </row>
    <row r="423" spans="1:6" ht="16.5">
      <c r="A423" t="str">
        <f>"AA007182969"</f>
        <v>AA007182969</v>
      </c>
      <c r="B423" t="str">
        <f>"林文昭店舖住宅新建工程"</f>
        <v>林文昭店舖住宅新建工程</v>
      </c>
      <c r="C423" t="str">
        <f>"(107)南工造字第04888號"</f>
        <v>(107)南工造字第04888號</v>
      </c>
      <c r="D423" t="str">
        <f>"108/11/24"</f>
        <v>108/11/24</v>
      </c>
      <c r="E423" t="str">
        <f>"2019/11/22 上午 12:00:00"</f>
        <v>2019/11/22 上午 12:00:00</v>
      </c>
      <c r="F423" t="str">
        <f>"B1"</f>
        <v>B1</v>
      </c>
    </row>
    <row r="424" spans="1:6" ht="16.5">
      <c r="A424" t="str">
        <f>"AA007183370"</f>
        <v>AA007183370</v>
      </c>
      <c r="B424" t="str">
        <f>"A1-新百曄建設有限公司住宅新建工程"</f>
        <v>A1-新百曄建設有限公司住宅新建工程</v>
      </c>
      <c r="C424" t="str">
        <f>"107雲營建字第 01342-01344 號"</f>
        <v>107雲營建字第 01342-01344 號</v>
      </c>
      <c r="D424" t="str">
        <f>"108/11/28"</f>
        <v>108/11/28</v>
      </c>
      <c r="E424" t="str">
        <f>"2019/11/28 上午 12:00:00"</f>
        <v>2019/11/28 上午 12:00:00</v>
      </c>
      <c r="F424" t="str">
        <f>"A1"</f>
        <v>A1</v>
      </c>
    </row>
    <row r="425" spans="1:6" ht="16.5">
      <c r="A425" t="str">
        <f>"AA007183949"</f>
        <v>AA007183949</v>
      </c>
      <c r="B425" t="str">
        <f>"東惠建設有限公司 負責人:陳淑惠4F1戶店鋪住宅新建工程"</f>
        <v>東惠建設有限公司 負責人:陳淑惠4F1戶店鋪住宅新建工程</v>
      </c>
      <c r="C425" t="str">
        <f>"(107)南工造字第03289號"</f>
        <v>(107)南工造字第03289號</v>
      </c>
      <c r="D425" t="str">
        <f>"108/11/19"</f>
        <v>108/11/19</v>
      </c>
      <c r="E425" t="str">
        <f>"2019/11/19 上午 12:00:00"</f>
        <v>2019/11/19 上午 12:00:00</v>
      </c>
      <c r="F425" t="str">
        <f>"A1"</f>
        <v>A1</v>
      </c>
    </row>
    <row r="426" spans="1:6" ht="16.5">
      <c r="A426" t="str">
        <f>"AA007184360"</f>
        <v>AA007184360</v>
      </c>
      <c r="B426" t="str">
        <f>"瑞成建設有限公司 (6戶)住宅"</f>
        <v>瑞成建設有限公司 (6戶)住宅</v>
      </c>
      <c r="C426" t="str">
        <f>"(107)高市工建築第02782號"</f>
        <v>(107)高市工建築第02782號</v>
      </c>
      <c r="D426" t="str">
        <f>"108/11/26"</f>
        <v>108/11/26</v>
      </c>
      <c r="E426" t="str">
        <f>"2019/11/24 上午 12:00:00"</f>
        <v>2019/11/24 上午 12:00:00</v>
      </c>
      <c r="F426" t="s">
        <v>9</v>
      </c>
    </row>
    <row r="427" spans="1:6" ht="16.5">
      <c r="A427" t="str">
        <f>"AA007184953"</f>
        <v>AA007184953</v>
      </c>
      <c r="B427" t="str">
        <f>"黃俊誠(4Fx1戶)新建住宅"</f>
        <v>黃俊誠(4Fx1戶)新建住宅</v>
      </c>
      <c r="C427" t="str">
        <f>"(107)南工造字第05053號"</f>
        <v>(107)南工造字第05053號</v>
      </c>
      <c r="D427" t="str">
        <f>"108/11/24"</f>
        <v>108/11/24</v>
      </c>
      <c r="E427" t="str">
        <f>"2019/11/22 上午 12:00:00"</f>
        <v>2019/11/22 上午 12:00:00</v>
      </c>
      <c r="F427" t="str">
        <f>"A1"</f>
        <v>A1</v>
      </c>
    </row>
    <row r="428" spans="1:6" ht="16.5">
      <c r="A428" t="str">
        <f>"AA007185820"</f>
        <v>AA007185820</v>
      </c>
      <c r="B428" t="s">
        <v>49</v>
      </c>
      <c r="C428" t="str">
        <f>"(107)南工造字第05093~05100號"</f>
        <v>(107)南工造字第05093~05100號</v>
      </c>
      <c r="D428" t="str">
        <f>"108/11/06"</f>
        <v>108/11/06</v>
      </c>
      <c r="E428" t="str">
        <f>"2019/11/6 上午 12:00:00"</f>
        <v>2019/11/6 上午 12:00:00</v>
      </c>
      <c r="F428" t="str">
        <f>"A1"</f>
        <v>A1</v>
      </c>
    </row>
    <row r="429" spans="1:6" ht="16.5">
      <c r="A429" t="str">
        <f>"AA007185981"</f>
        <v>AA007185981</v>
      </c>
      <c r="B429" t="str">
        <f>"寬台建設作業廠房新建工程"</f>
        <v>寬台建設作業廠房新建工程</v>
      </c>
      <c r="C429" t="str">
        <f>"(107)高市工建築字第02915~02918號"</f>
        <v>(107)高市工建築字第02915~02918號</v>
      </c>
      <c r="D429" t="str">
        <f>"108/11/13"</f>
        <v>108/11/13</v>
      </c>
      <c r="E429" t="str">
        <f>"2019/11/13 上午 12:00:00"</f>
        <v>2019/11/13 上午 12:00:00</v>
      </c>
      <c r="F429" t="str">
        <f>"B1"</f>
        <v>B1</v>
      </c>
    </row>
    <row r="430" spans="1:6" ht="16.5">
      <c r="A430" t="str">
        <f>"AA007186054"</f>
        <v>AA007186054</v>
      </c>
      <c r="B430" t="str">
        <f>"群寶建設新群一段住宅新建工程(12戶)"</f>
        <v>群寶建設新群一段住宅新建工程(12戶)</v>
      </c>
      <c r="C430" t="str">
        <f>"107年11月27日 羅鎮工字第1070020977號A1棟 ~ 第1070020977號B7棟"</f>
        <v>107年11月27日 羅鎮工字第1070020977號A1棟 ~ 第1070020977號B7棟</v>
      </c>
      <c r="D430" t="str">
        <f>"108/11/25"</f>
        <v>108/11/25</v>
      </c>
      <c r="E430" t="str">
        <f>"2019/11/19 上午 12:00:00"</f>
        <v>2019/11/19 上午 12:00:00</v>
      </c>
      <c r="F430" t="str">
        <f aca="true" t="shared" si="8" ref="F430:F439">"A1"</f>
        <v>A1</v>
      </c>
    </row>
    <row r="431" spans="1:6" ht="16.5">
      <c r="A431" t="str">
        <f>"AA007187311"</f>
        <v>AA007187311</v>
      </c>
      <c r="B431" t="str">
        <f>"石秀珠宜蘭市慈安段三層住宅新建工程"</f>
        <v>石秀珠宜蘭市慈安段三層住宅新建工程</v>
      </c>
      <c r="C431" t="str">
        <f>"107.11.13建管建字第00712號"</f>
        <v>107.11.13建管建字第00712號</v>
      </c>
      <c r="D431" t="str">
        <f>"108/11/18"</f>
        <v>108/11/18</v>
      </c>
      <c r="E431" t="str">
        <f>"2019/11/13 上午 12:00:00"</f>
        <v>2019/11/13 上午 12:00:00</v>
      </c>
      <c r="F431" t="str">
        <f t="shared" si="8"/>
        <v>A1</v>
      </c>
    </row>
    <row r="432" spans="1:6" ht="16.5">
      <c r="A432" t="str">
        <f>"AA007188258"</f>
        <v>AA007188258</v>
      </c>
      <c r="B432" t="str">
        <f>"董祝如4FX1戶住宅新建工程"</f>
        <v>董祝如4FX1戶住宅新建工程</v>
      </c>
      <c r="C432" t="str">
        <f>"(107)南工造字第05245號"</f>
        <v>(107)南工造字第05245號</v>
      </c>
      <c r="D432" t="str">
        <f>"108/11/12"</f>
        <v>108/11/12</v>
      </c>
      <c r="E432" t="str">
        <f>"2019/11/12 上午 12:00:00"</f>
        <v>2019/11/12 上午 12:00:00</v>
      </c>
      <c r="F432" t="str">
        <f t="shared" si="8"/>
        <v>A1</v>
      </c>
    </row>
    <row r="433" spans="1:6" ht="16.5">
      <c r="A433" t="str">
        <f>"AA007188450"</f>
        <v>AA007188450</v>
      </c>
      <c r="B433" t="str">
        <f>"陳尚能2F1戶住宅新建工程"</f>
        <v>陳尚能2F1戶住宅新建工程</v>
      </c>
      <c r="C433" t="str">
        <f>"(107)南工造字第05209號"</f>
        <v>(107)南工造字第05209號</v>
      </c>
      <c r="D433" t="str">
        <f>"108/11/04"</f>
        <v>108/11/04</v>
      </c>
      <c r="E433" t="str">
        <f>"2019/11/4 上午 12:00:00"</f>
        <v>2019/11/4 上午 12:00:00</v>
      </c>
      <c r="F433" t="str">
        <f t="shared" si="8"/>
        <v>A1</v>
      </c>
    </row>
    <row r="434" spans="1:6" ht="16.5">
      <c r="A434" t="str">
        <f>"AA007188769"</f>
        <v>AA007188769</v>
      </c>
      <c r="B434" t="str">
        <f>"林振良 (4Fx1戶)住宅"</f>
        <v>林振良 (4Fx1戶)住宅</v>
      </c>
      <c r="C434" t="str">
        <f>"(107)南工造字第05266號"</f>
        <v>(107)南工造字第05266號</v>
      </c>
      <c r="D434" t="str">
        <f>"108/11/24"</f>
        <v>108/11/24</v>
      </c>
      <c r="E434" t="str">
        <f>"2019/11/22 上午 12:00:00"</f>
        <v>2019/11/22 上午 12:00:00</v>
      </c>
      <c r="F434" t="str">
        <f t="shared" si="8"/>
        <v>A1</v>
      </c>
    </row>
    <row r="435" spans="1:6" ht="16.5">
      <c r="A435" t="str">
        <f>"AA007189258"</f>
        <v>AA007189258</v>
      </c>
      <c r="B435" t="str">
        <f>"雷小惠"</f>
        <v>雷小惠</v>
      </c>
      <c r="C435" t="str">
        <f>"(107)南工造字第05187號"</f>
        <v>(107)南工造字第05187號</v>
      </c>
      <c r="D435" t="str">
        <f>"108/11/09"</f>
        <v>108/11/09</v>
      </c>
      <c r="E435" t="str">
        <f>"2019/11/8 上午 12:00:00"</f>
        <v>2019/11/8 上午 12:00:00</v>
      </c>
      <c r="F435" t="str">
        <f t="shared" si="8"/>
        <v>A1</v>
      </c>
    </row>
    <row r="436" spans="1:6" ht="16.5">
      <c r="A436" t="str">
        <f>"AA007189450"</f>
        <v>AA007189450</v>
      </c>
      <c r="B436" t="str">
        <f>"A1-吳孟祥住宅新建工程"</f>
        <v>A1-吳孟祥住宅新建工程</v>
      </c>
      <c r="C436" t="str">
        <f>"(107)(雲)營建字第00757.01163號"</f>
        <v>(107)(雲)營建字第00757.01163號</v>
      </c>
      <c r="D436" t="str">
        <f>"108/11/13"</f>
        <v>108/11/13</v>
      </c>
      <c r="E436" t="str">
        <f>"2019/11/13 上午 12:00:00"</f>
        <v>2019/11/13 上午 12:00:00</v>
      </c>
      <c r="F436" t="str">
        <f t="shared" si="8"/>
        <v>A1</v>
      </c>
    </row>
    <row r="437" spans="1:6" ht="16.5">
      <c r="A437" t="str">
        <f>"AA007189949"</f>
        <v>AA007189949</v>
      </c>
      <c r="B437" t="str">
        <f>"A1-李雅雯-住宅新建工程"</f>
        <v>A1-李雅雯-住宅新建工程</v>
      </c>
      <c r="C437" t="str">
        <f>"(107)(雲)營建字第01374號"</f>
        <v>(107)(雲)營建字第01374號</v>
      </c>
      <c r="D437" t="str">
        <f>"108/11/13"</f>
        <v>108/11/13</v>
      </c>
      <c r="E437" t="str">
        <f>"2019/11/13 上午 12:00:00"</f>
        <v>2019/11/13 上午 12:00:00</v>
      </c>
      <c r="F437" t="str">
        <f t="shared" si="8"/>
        <v>A1</v>
      </c>
    </row>
    <row r="438" spans="1:6" ht="16.5">
      <c r="A438" t="str">
        <f>"AA007190173"</f>
        <v>AA007190173</v>
      </c>
      <c r="B438" t="str">
        <f>"黃志榮住宅新建工程"</f>
        <v>黃志榮住宅新建工程</v>
      </c>
      <c r="C438" t="str">
        <f>"(107)南工造字第05277號"</f>
        <v>(107)南工造字第05277號</v>
      </c>
      <c r="D438" t="str">
        <f>"108/11/06"</f>
        <v>108/11/06</v>
      </c>
      <c r="E438" t="str">
        <f>"2019/11/6 上午 12:00:00"</f>
        <v>2019/11/6 上午 12:00:00</v>
      </c>
      <c r="F438" t="str">
        <f t="shared" si="8"/>
        <v>A1</v>
      </c>
    </row>
    <row r="439" spans="1:6" ht="16.5">
      <c r="A439" t="str">
        <f>"AA007191029"</f>
        <v>AA007191029</v>
      </c>
      <c r="B439" t="str">
        <f>"吉郡建設有限公司住宅新建工程"</f>
        <v>吉郡建設有限公司住宅新建工程</v>
      </c>
      <c r="C439" t="str">
        <f>"(107)高市工建築字第02955~02958號"</f>
        <v>(107)高市工建築字第02955~02958號</v>
      </c>
      <c r="D439" t="str">
        <f>"108/11/09"</f>
        <v>108/11/09</v>
      </c>
      <c r="E439" t="str">
        <f>"2019/11/9 上午 12:00:00"</f>
        <v>2019/11/9 上午 12:00:00</v>
      </c>
      <c r="F439" t="str">
        <f t="shared" si="8"/>
        <v>A1</v>
      </c>
    </row>
    <row r="440" spans="1:6" ht="16.5">
      <c r="A440" t="str">
        <f>"AA007192338"</f>
        <v>AA007192338</v>
      </c>
      <c r="B440" t="str">
        <f>"葉桂林店鋪住宅"</f>
        <v>葉桂林店鋪住宅</v>
      </c>
      <c r="C440" t="str">
        <f>"(107)南工造字第05442號"</f>
        <v>(107)南工造字第05442號</v>
      </c>
      <c r="D440" t="str">
        <f>"108/11/19"</f>
        <v>108/11/19</v>
      </c>
      <c r="E440" t="str">
        <f>"2019/11/14 上午 12:00:00"</f>
        <v>2019/11/14 上午 12:00:00</v>
      </c>
      <c r="F440" t="s">
        <v>7</v>
      </c>
    </row>
    <row r="441" spans="1:6" ht="16.5">
      <c r="A441" t="str">
        <f>"AA007192795"</f>
        <v>AA007192795</v>
      </c>
      <c r="B441" t="str">
        <f>"鍾岳樺(4Fx1戶)新建住宅"</f>
        <v>鍾岳樺(4Fx1戶)新建住宅</v>
      </c>
      <c r="C441" t="str">
        <f>"(107)南工造字第03908-1號"</f>
        <v>(107)南工造字第03908-1號</v>
      </c>
      <c r="D441" t="str">
        <f>"108/11/09"</f>
        <v>108/11/09</v>
      </c>
      <c r="E441" t="str">
        <f>"2019/11/8 上午 12:00:00"</f>
        <v>2019/11/8 上午 12:00:00</v>
      </c>
      <c r="F441" t="str">
        <f>"A1"</f>
        <v>A1</v>
      </c>
    </row>
    <row r="442" spans="1:6" ht="16.5">
      <c r="A442" t="str">
        <f>"AA007193370"</f>
        <v>AA007193370</v>
      </c>
      <c r="B442" t="str">
        <f>"森鉅科技材料股份有限公司（1Fx1戶）廠房"</f>
        <v>森鉅科技材料股份有限公司（1Fx1戶）廠房</v>
      </c>
      <c r="C442" t="str">
        <f>"(107)南工造字第05353號"</f>
        <v>(107)南工造字第05353號</v>
      </c>
      <c r="D442" t="str">
        <f>"108/11/12"</f>
        <v>108/11/12</v>
      </c>
      <c r="E442" t="str">
        <f>"2019/11/12 上午 12:00:00"</f>
        <v>2019/11/12 上午 12:00:00</v>
      </c>
      <c r="F442" t="str">
        <f>"C1"</f>
        <v>C1</v>
      </c>
    </row>
    <row r="443" spans="1:6" ht="16.5">
      <c r="A443" t="str">
        <f>"AA007193593"</f>
        <v>AA007193593</v>
      </c>
      <c r="B443" t="str">
        <f>"尚承建設有限公司4戶住宅新漸工程"</f>
        <v>尚承建設有限公司4戶住宅新漸工程</v>
      </c>
      <c r="C443" t="str">
        <f>"(107)南工造字第05196~05199號"</f>
        <v>(107)南工造字第05196~05199號</v>
      </c>
      <c r="D443" t="str">
        <f>"108/11/24"</f>
        <v>108/11/24</v>
      </c>
      <c r="E443" t="str">
        <f>"2019/11/22 上午 12:00:00"</f>
        <v>2019/11/22 上午 12:00:00</v>
      </c>
      <c r="F443" t="str">
        <f>"A1"</f>
        <v>A1</v>
      </c>
    </row>
    <row r="444" spans="1:6" ht="16.5">
      <c r="A444" t="str">
        <f>"AA007195414"</f>
        <v>AA007195414</v>
      </c>
      <c r="B444" t="str">
        <f>"禾銓開發建設有限公司安定區保安段六戶住宅新建工程"</f>
        <v>禾銓開發建設有限公司安定區保安段六戶住宅新建工程</v>
      </c>
      <c r="C444" t="str">
        <f>"(107)南工造字第05493~05495號"</f>
        <v>(107)南工造字第05493~05495號</v>
      </c>
      <c r="D444" t="str">
        <f>"108/11/12"</f>
        <v>108/11/12</v>
      </c>
      <c r="E444" t="str">
        <f>"2019/11/12 上午 12:00:00"</f>
        <v>2019/11/12 上午 12:00:00</v>
      </c>
      <c r="F444" t="s">
        <v>50</v>
      </c>
    </row>
    <row r="445" spans="1:6" ht="16.5">
      <c r="A445" t="str">
        <f>"AA008001443"</f>
        <v>AA008001443</v>
      </c>
      <c r="B445" t="str">
        <f>"A1-高魏彩蓮住宅新建工程"</f>
        <v>A1-高魏彩蓮住宅新建工程</v>
      </c>
      <c r="C445" t="str">
        <f>"(107)嘉民鄉建執字第00305號"</f>
        <v>(107)嘉民鄉建執字第00305號</v>
      </c>
      <c r="D445" t="str">
        <f>"108/11/04"</f>
        <v>108/11/04</v>
      </c>
      <c r="E445" t="str">
        <f>"2019/11/4 上午 12:00:00"</f>
        <v>2019/11/4 上午 12:00:00</v>
      </c>
      <c r="F445" t="str">
        <f aca="true" t="shared" si="9" ref="F445:F451">"A1"</f>
        <v>A1</v>
      </c>
    </row>
    <row r="446" spans="1:6" ht="16.5">
      <c r="A446" t="str">
        <f>"AA008003127"</f>
        <v>AA008003127</v>
      </c>
      <c r="B446" t="str">
        <f>"A1-林璟郁住宅新建工程"</f>
        <v>A1-林璟郁住宅新建工程</v>
      </c>
      <c r="C446" t="str">
        <f>"107嘉中鄉建區管執字第050號"</f>
        <v>107嘉中鄉建區管執字第050號</v>
      </c>
      <c r="D446" t="str">
        <f>"108/11/26"</f>
        <v>108/11/26</v>
      </c>
      <c r="E446" t="str">
        <f>"2019/11/26 上午 12:00:00"</f>
        <v>2019/11/26 上午 12:00:00</v>
      </c>
      <c r="F446" t="str">
        <f t="shared" si="9"/>
        <v>A1</v>
      </c>
    </row>
    <row r="447" spans="1:6" ht="16.5">
      <c r="A447" t="str">
        <f>"AA008003221"</f>
        <v>AA008003221</v>
      </c>
      <c r="B447" t="str">
        <f>"正鐘有限公司 代表人：陳昌正住宅新建工程"</f>
        <v>正鐘有限公司 代表人：陳昌正住宅新建工程</v>
      </c>
      <c r="C447" t="str">
        <f>"(107)桃市都建執照字第會觀01383號"</f>
        <v>(107)桃市都建執照字第會觀01383號</v>
      </c>
      <c r="D447" t="str">
        <f>"108/11/14"</f>
        <v>108/11/14</v>
      </c>
      <c r="E447" t="str">
        <f>"2019/11/14 上午 12:00:00"</f>
        <v>2019/11/14 上午 12:00:00</v>
      </c>
      <c r="F447" t="str">
        <f t="shared" si="9"/>
        <v>A1</v>
      </c>
    </row>
    <row r="448" spans="1:6" ht="16.5">
      <c r="A448" t="str">
        <f>"AA008004258"</f>
        <v>AA008004258</v>
      </c>
      <c r="B448" t="str">
        <f>"嘉皇建設住宅新建工程"</f>
        <v>嘉皇建設住宅新建工程</v>
      </c>
      <c r="C448" t="str">
        <f>"(107)南工造字第04948號"</f>
        <v>(107)南工造字第04948號</v>
      </c>
      <c r="D448" t="str">
        <f>"108/11/26"</f>
        <v>108/11/26</v>
      </c>
      <c r="E448" t="str">
        <f>"2019/11/26 上午 12:00:00"</f>
        <v>2019/11/26 上午 12:00:00</v>
      </c>
      <c r="F448" t="str">
        <f t="shared" si="9"/>
        <v>A1</v>
      </c>
    </row>
    <row r="449" spans="1:6" ht="16.5">
      <c r="A449" t="str">
        <f>"AA008004382"</f>
        <v>AA008004382</v>
      </c>
      <c r="B449" t="str">
        <f>"富達安建設有限公司住宅新建工程"</f>
        <v>富達安建設有限公司住宅新建工程</v>
      </c>
      <c r="C449" t="str">
        <f>"(107)南工造字第05368~05369號"</f>
        <v>(107)南工造字第05368~05369號</v>
      </c>
      <c r="D449" t="str">
        <f>"108/11/11"</f>
        <v>108/11/11</v>
      </c>
      <c r="E449" t="str">
        <f>"2019/11/11 上午 12:00:00"</f>
        <v>2019/11/11 上午 12:00:00</v>
      </c>
      <c r="F449" t="str">
        <f t="shared" si="9"/>
        <v>A1</v>
      </c>
    </row>
    <row r="450" spans="1:6" ht="16.5">
      <c r="A450" t="str">
        <f>"AA008006292"</f>
        <v>AA008006292</v>
      </c>
      <c r="B450" t="str">
        <f>"富裕建設開發有限公司"</f>
        <v>富裕建設開發有限公司</v>
      </c>
      <c r="C450" t="str">
        <f>"(107)南工造字第05552~05574號"</f>
        <v>(107)南工造字第05552~05574號</v>
      </c>
      <c r="D450" t="str">
        <f>"108/11/19"</f>
        <v>108/11/19</v>
      </c>
      <c r="E450" t="str">
        <f>"2019/11/19 上午 12:00:00"</f>
        <v>2019/11/19 上午 12:00:00</v>
      </c>
      <c r="F450" t="str">
        <f t="shared" si="9"/>
        <v>A1</v>
      </c>
    </row>
    <row r="451" spans="1:6" ht="16.5">
      <c r="A451" t="str">
        <f>"AA008006795"</f>
        <v>AA008006795</v>
      </c>
      <c r="B451" t="str">
        <f>"A1-翁君安等2人2FX1戶住宅新建工程"</f>
        <v>A1-翁君安等2人2FX1戶住宅新建工程</v>
      </c>
      <c r="C451" t="str">
        <f>"(107)嘉義鄉建造字第00016號"</f>
        <v>(107)嘉義鄉建造字第00016號</v>
      </c>
      <c r="D451" t="str">
        <f>"108/11/25"</f>
        <v>108/11/25</v>
      </c>
      <c r="E451" t="str">
        <f>"2019/11/20 上午 12:00:00"</f>
        <v>2019/11/20 上午 12:00:00</v>
      </c>
      <c r="F451" t="str">
        <f t="shared" si="9"/>
        <v>A1</v>
      </c>
    </row>
    <row r="452" spans="1:6" ht="16.5">
      <c r="A452" t="str">
        <f>"AA008007180"</f>
        <v>AA008007180</v>
      </c>
      <c r="B452" t="str">
        <f>"樺嶺企業股份有限公司 廠房新建工程"</f>
        <v>樺嶺企業股份有限公司 廠房新建工程</v>
      </c>
      <c r="C452" t="str">
        <f>"(107)南工造字第05262號"</f>
        <v>(107)南工造字第05262號</v>
      </c>
      <c r="D452" t="str">
        <f>"108/11/24"</f>
        <v>108/11/24</v>
      </c>
      <c r="E452" t="str">
        <f>"2019/11/21 上午 12:00:00"</f>
        <v>2019/11/21 上午 12:00:00</v>
      </c>
      <c r="F452" t="str">
        <f>"C1"</f>
        <v>C1</v>
      </c>
    </row>
    <row r="453" spans="1:6" ht="16.5">
      <c r="A453" t="str">
        <f>"AA008007789"</f>
        <v>AA008007789</v>
      </c>
      <c r="B453" t="str">
        <f>"張庭偉2F*1戶住宅新建工程"</f>
        <v>張庭偉2F*1戶住宅新建工程</v>
      </c>
      <c r="C453" t="str">
        <f>"(108)南工造字第00120號"</f>
        <v>(108)南工造字第00120號</v>
      </c>
      <c r="D453" t="str">
        <f>"108/11/16"</f>
        <v>108/11/16</v>
      </c>
      <c r="E453" t="str">
        <f>"2019/11/15 上午 12:00:00"</f>
        <v>2019/11/15 上午 12:00:00</v>
      </c>
      <c r="F453" t="str">
        <f>"A1"</f>
        <v>A1</v>
      </c>
    </row>
    <row r="454" spans="1:6" ht="16.5">
      <c r="A454" t="str">
        <f>"AA008007820"</f>
        <v>AA008007820</v>
      </c>
      <c r="B454" t="str">
        <f>"秦達祐2F*1戶住宅新建工程"</f>
        <v>秦達祐2F*1戶住宅新建工程</v>
      </c>
      <c r="C454" t="str">
        <f>"(108)南工造字第00135 號"</f>
        <v>(108)南工造字第00135 號</v>
      </c>
      <c r="D454" t="str">
        <f>"108/11/16"</f>
        <v>108/11/16</v>
      </c>
      <c r="E454" t="str">
        <f>"2019/11/15 上午 12:00:00"</f>
        <v>2019/11/15 上午 12:00:00</v>
      </c>
      <c r="F454" t="str">
        <f>"A1"</f>
        <v>A1</v>
      </c>
    </row>
    <row r="455" spans="1:6" ht="16.5">
      <c r="A455" t="str">
        <f>"AA008008083"</f>
        <v>AA008008083</v>
      </c>
      <c r="B455" t="str">
        <f>"B1元茂聯合開發股份有限公司店鋪新建工程"</f>
        <v>B1元茂聯合開發股份有限公司店鋪新建工程</v>
      </c>
      <c r="C455" t="str">
        <f>"107中都建字第2666號"</f>
        <v>107中都建字第2666號</v>
      </c>
      <c r="D455" t="str">
        <f>"108/11/07"</f>
        <v>108/11/07</v>
      </c>
      <c r="E455" t="str">
        <f>"2019/10/31 上午 12:00:00"</f>
        <v>2019/10/31 上午 12:00:00</v>
      </c>
      <c r="F455" t="str">
        <f>"B1"</f>
        <v>B1</v>
      </c>
    </row>
    <row r="456" spans="1:6" ht="16.5">
      <c r="A456" t="str">
        <f>"AA008008443"</f>
        <v>AA008008443</v>
      </c>
      <c r="B456" t="str">
        <f>"張三越文化段店鋪新建工程"</f>
        <v>張三越文化段店鋪新建工程</v>
      </c>
      <c r="C456" t="str">
        <f>"(107)高市工建築字第03167號"</f>
        <v>(107)高市工建築字第03167號</v>
      </c>
      <c r="D456" t="str">
        <f>"108/11/26"</f>
        <v>108/11/26</v>
      </c>
      <c r="E456" t="str">
        <f>"2019/11/24 上午 12:00:00"</f>
        <v>2019/11/24 上午 12:00:00</v>
      </c>
      <c r="F456" t="str">
        <f>"B1"</f>
        <v>B1</v>
      </c>
    </row>
    <row r="457" spans="1:6" ht="16.5">
      <c r="A457" t="str">
        <f>"AA008008450"</f>
        <v>AA008008450</v>
      </c>
      <c r="B457" t="str">
        <f>"A1-廖素妹二戶住宅新建工程"</f>
        <v>A1-廖素妹二戶住宅新建工程</v>
      </c>
      <c r="C457" t="str">
        <f>"107雲營建字第1428.1429號"</f>
        <v>107雲營建字第1428.1429號</v>
      </c>
      <c r="D457" t="str">
        <f>"108/11/11"</f>
        <v>108/11/11</v>
      </c>
      <c r="E457" t="str">
        <f>"2019/11/11 上午 12:00:00"</f>
        <v>2019/11/11 上午 12:00:00</v>
      </c>
      <c r="F457" t="str">
        <f>"A1"</f>
        <v>A1</v>
      </c>
    </row>
    <row r="458" spans="1:6" ht="16.5">
      <c r="A458" t="str">
        <f>"AA008008820"</f>
        <v>AA008008820</v>
      </c>
      <c r="B458" t="str">
        <f>"林賢翰店舖新建工程"</f>
        <v>林賢翰店舖新建工程</v>
      </c>
      <c r="C458" t="str">
        <f>"(108)府建字第00032號"</f>
        <v>(108)府建字第00032號</v>
      </c>
      <c r="D458" t="str">
        <f>"108/11/18"</f>
        <v>108/11/18</v>
      </c>
      <c r="E458" t="str">
        <f>"2019/11/8 上午 12:00:00"</f>
        <v>2019/11/8 上午 12:00:00</v>
      </c>
      <c r="F458" t="s">
        <v>30</v>
      </c>
    </row>
    <row r="459" spans="1:6" ht="16.5">
      <c r="A459" t="str">
        <f>"AA008008935"</f>
        <v>AA008008935</v>
      </c>
      <c r="B459" t="str">
        <f>"A1-上謙開發建設中埔鄉和溪段十二戶住宅新建工程"</f>
        <v>A1-上謙開發建設中埔鄉和溪段十二戶住宅新建工程</v>
      </c>
      <c r="C459" t="str">
        <f>"108嘉中鄉建區管執字第001-012號"</f>
        <v>108嘉中鄉建區管執字第001-012號</v>
      </c>
      <c r="D459" t="str">
        <f>"108/11/11"</f>
        <v>108/11/11</v>
      </c>
      <c r="E459" t="str">
        <f>"2019/11/6 上午 12:00:00"</f>
        <v>2019/11/6 上午 12:00:00</v>
      </c>
      <c r="F459" t="str">
        <f>"A1"</f>
        <v>A1</v>
      </c>
    </row>
    <row r="460" spans="1:6" ht="16.5">
      <c r="A460" t="str">
        <f>"AA008009795"</f>
        <v>AA008009795</v>
      </c>
      <c r="B460" t="str">
        <f>"晏丞建設有限公司(3Fx9戶)住宅"</f>
        <v>晏丞建設有限公司(3Fx9戶)住宅</v>
      </c>
      <c r="C460" t="str">
        <f>"(107)南工造字第 05627~05635 號"</f>
        <v>(107)南工造字第 05627~05635 號</v>
      </c>
      <c r="D460" t="str">
        <f>"108/11/30"</f>
        <v>108/11/30</v>
      </c>
      <c r="E460" t="str">
        <f>"2019/11/26 上午 12:00:00"</f>
        <v>2019/11/26 上午 12:00:00</v>
      </c>
      <c r="F460" t="str">
        <f>"A1"</f>
        <v>A1</v>
      </c>
    </row>
    <row r="461" spans="1:6" ht="16.5">
      <c r="A461" t="str">
        <f>"AA008010180"</f>
        <v>AA008010180</v>
      </c>
      <c r="B461" t="str">
        <f>"湧福興國際股份有限公司-作業廠房新建工程"</f>
        <v>湧福興國際股份有限公司-作業廠房新建工程</v>
      </c>
      <c r="C461" t="str">
        <f>"(107)桃市都建執照字第會蘆00194-01號"</f>
        <v>(107)桃市都建執照字第會蘆00194-01號</v>
      </c>
      <c r="D461" t="str">
        <f>"108/11/28"</f>
        <v>108/11/28</v>
      </c>
      <c r="E461" t="str">
        <f>"2019/11/14 上午 12:00:00"</f>
        <v>2019/11/14 上午 12:00:00</v>
      </c>
      <c r="F461" t="s">
        <v>19</v>
      </c>
    </row>
    <row r="462" spans="1:6" ht="16.5">
      <c r="A462" t="str">
        <f>"AA008010217"</f>
        <v>AA008010217</v>
      </c>
      <c r="B462" t="str">
        <f>"台北市萬華區龍山段一小段725等7筆地號 新建工程"</f>
        <v>台北市萬華區龍山段一小段725等7筆地號 新建工程</v>
      </c>
      <c r="C462" t="str">
        <f>"106建字第001號"</f>
        <v>106建字第001號</v>
      </c>
      <c r="D462" t="str">
        <f>"108/11/18"</f>
        <v>108/11/18</v>
      </c>
      <c r="E462" t="str">
        <f>"2019/11/15 上午 12:00:00"</f>
        <v>2019/11/15 上午 12:00:00</v>
      </c>
      <c r="F462" t="s">
        <v>6</v>
      </c>
    </row>
    <row r="463" spans="1:6" ht="16.5">
      <c r="A463" t="str">
        <f>"AA008010428"</f>
        <v>AA008010428</v>
      </c>
      <c r="B463" t="str">
        <f>"宜蘭縣壯圍鄉功勞段住宅新建工程"</f>
        <v>宜蘭縣壯圍鄉功勞段住宅新建工程</v>
      </c>
      <c r="C463" t="str">
        <f>"108.1.9壯鄉工字第14382、14382-01~14382-04號"</f>
        <v>108.1.9壯鄉工字第14382、14382-01~14382-04號</v>
      </c>
      <c r="D463" t="str">
        <f>"108/11/06"</f>
        <v>108/11/06</v>
      </c>
      <c r="E463" t="str">
        <f>"2019/11/5 上午 12:00:00"</f>
        <v>2019/11/5 上午 12:00:00</v>
      </c>
      <c r="F463" t="str">
        <f>"A1"</f>
        <v>A1</v>
      </c>
    </row>
    <row r="464" spans="1:6" ht="16.5">
      <c r="A464" t="str">
        <f>"AA008013575"</f>
        <v>AA008013575</v>
      </c>
      <c r="B464" t="str">
        <f>"A1-蔡聰庭住宅新建工程"</f>
        <v>A1-蔡聰庭住宅新建工程</v>
      </c>
      <c r="C464" t="str">
        <f>"108嘉朴建字第001號"</f>
        <v>108嘉朴建字第001號</v>
      </c>
      <c r="D464" t="str">
        <f>"108/11/04"</f>
        <v>108/11/04</v>
      </c>
      <c r="E464" t="str">
        <f>"2019/11/1 上午 12:00:00"</f>
        <v>2019/11/1 上午 12:00:00</v>
      </c>
      <c r="F464" t="str">
        <f>"A1"</f>
        <v>A1</v>
      </c>
    </row>
    <row r="465" spans="1:6" ht="16.5">
      <c r="A465" t="str">
        <f>"AA008014414"</f>
        <v>AA008014414</v>
      </c>
      <c r="B465" t="str">
        <f>"吉緣城建設有限公司 負責人:吳佳融(3Fx6戶)住宅　新建工程"</f>
        <v>吉緣城建設有限公司 負責人:吳佳融(3Fx6戶)住宅　新建工程</v>
      </c>
      <c r="C465" t="str">
        <f>"(108)南工造字第00240~00245號"</f>
        <v>(108)南工造字第00240~00245號</v>
      </c>
      <c r="D465" t="str">
        <f>"108/11/05"</f>
        <v>108/11/05</v>
      </c>
      <c r="E465" t="str">
        <f>"2019/11/5 上午 12:00:00"</f>
        <v>2019/11/5 上午 12:00:00</v>
      </c>
      <c r="F465" t="str">
        <f>"A1"</f>
        <v>A1</v>
      </c>
    </row>
    <row r="466" spans="1:6" ht="16.5">
      <c r="A466" t="str">
        <f>"AA008017119"</f>
        <v>AA008017119</v>
      </c>
      <c r="B466" t="str">
        <f>"A1-丁春生.丁俊仁-住宅新建工程"</f>
        <v>A1-丁春生.丁俊仁-住宅新建工程</v>
      </c>
      <c r="C466" t="str">
        <f>"(107)(東)營建字第00030號"</f>
        <v>(107)(東)營建字第00030號</v>
      </c>
      <c r="D466" t="str">
        <f>"108/11/04"</f>
        <v>108/11/04</v>
      </c>
      <c r="E466" t="str">
        <f>"2019/11/4 上午 12:00:00"</f>
        <v>2019/11/4 上午 12:00:00</v>
      </c>
      <c r="F466" t="str">
        <f>"A1"</f>
        <v>A1</v>
      </c>
    </row>
    <row r="467" spans="1:6" ht="16.5">
      <c r="A467" t="str">
        <f>"AA008017533"</f>
        <v>AA008017533</v>
      </c>
      <c r="B467" t="str">
        <f>"宗冠工業有限公司負責人葉宗廠房新建工程"</f>
        <v>宗冠工業有限公司負責人葉宗廠房新建工程</v>
      </c>
      <c r="C467" t="str">
        <f>"(108)高市工建築字第00165.00166號"</f>
        <v>(108)高市工建築字第00165.00166號</v>
      </c>
      <c r="D467" t="str">
        <f>"108/11/13"</f>
        <v>108/11/13</v>
      </c>
      <c r="E467" t="str">
        <f>"2019/11/13 上午 12:00:00"</f>
        <v>2019/11/13 上午 12:00:00</v>
      </c>
      <c r="F467" t="str">
        <f>"B1"</f>
        <v>B1</v>
      </c>
    </row>
    <row r="468" spans="1:6" ht="16.5">
      <c r="A468" t="str">
        <f>"AA008017708"</f>
        <v>AA008017708</v>
      </c>
      <c r="B468" t="str">
        <f>"晨瑋建設桃園市大園區五塊厝段下埔小段住宅新建工程"</f>
        <v>晨瑋建設桃園市大園區五塊厝段下埔小段住宅新建工程</v>
      </c>
      <c r="C468" t="str">
        <f>"(108)桃市都建執照字第會園00135號 "</f>
        <v>(108)桃市都建執照字第會園00135號 </v>
      </c>
      <c r="D468" t="str">
        <f>"108/11/21"</f>
        <v>108/11/21</v>
      </c>
      <c r="E468" t="str">
        <f>"2019/11/19 上午 12:00:00"</f>
        <v>2019/11/19 上午 12:00:00</v>
      </c>
      <c r="F468" t="str">
        <f>"B1"</f>
        <v>B1</v>
      </c>
    </row>
    <row r="469" spans="1:6" ht="16.5">
      <c r="A469" t="str">
        <f>"AA008018708"</f>
        <v>AA008018708</v>
      </c>
      <c r="B469" t="str">
        <f>"A1-廖永池住宅新建工程"</f>
        <v>A1-廖永池住宅新建工程</v>
      </c>
      <c r="C469" t="str">
        <f>"108古營建字第8號"</f>
        <v>108古營建字第8號</v>
      </c>
      <c r="D469" t="str">
        <f>"108/11/07"</f>
        <v>108/11/07</v>
      </c>
      <c r="E469" t="str">
        <f>"2019/11/7 上午 12:00:00"</f>
        <v>2019/11/7 上午 12:00:00</v>
      </c>
      <c r="F469" t="str">
        <f>"A1"</f>
        <v>A1</v>
      </c>
    </row>
    <row r="470" spans="1:6" ht="16.5">
      <c r="A470" t="str">
        <f>"AA008019370"</f>
        <v>AA008019370</v>
      </c>
      <c r="B470" t="str">
        <f>"府居建設有限公司13戶新建工程"</f>
        <v>府居建設有限公司13戶新建工程</v>
      </c>
      <c r="C470" t="str">
        <f>"(108)南工造字第00218~00229號"</f>
        <v>(108)南工造字第00218~00229號</v>
      </c>
      <c r="D470" t="str">
        <f>"108/11/28"</f>
        <v>108/11/28</v>
      </c>
      <c r="E470" t="str">
        <f>"2019/11/28 上午 12:00:00"</f>
        <v>2019/11/28 上午 12:00:00</v>
      </c>
      <c r="F470" t="str">
        <f>"A1"</f>
        <v>A1</v>
      </c>
    </row>
    <row r="471" spans="1:6" ht="16.5">
      <c r="A471" t="str">
        <f>"AA008020041"</f>
        <v>AA008020041</v>
      </c>
      <c r="B471" t="str">
        <f>"鼎旺建設開發有限公司5戶住宅新建工程"</f>
        <v>鼎旺建設開發有限公司5戶住宅新建工程</v>
      </c>
      <c r="C471" t="str">
        <f>"(108)南工造字第00252~00254號"</f>
        <v>(108)南工造字第00252~00254號</v>
      </c>
      <c r="D471" t="str">
        <f>"108/11/24"</f>
        <v>108/11/24</v>
      </c>
      <c r="E471" t="str">
        <f>"2019/11/22 上午 12:00:00"</f>
        <v>2019/11/22 上午 12:00:00</v>
      </c>
      <c r="F471" t="s">
        <v>12</v>
      </c>
    </row>
    <row r="472" spans="1:6" ht="16.5">
      <c r="A472" t="str">
        <f>"AA008021608"</f>
        <v>AA008021608</v>
      </c>
      <c r="B472" t="str">
        <f>"王耿章(1Fx1戶)住宅 新建工程"</f>
        <v>王耿章(1Fx1戶)住宅 新建工程</v>
      </c>
      <c r="C472" t="str">
        <f>"(107)南工造字第05260號"</f>
        <v>(107)南工造字第05260號</v>
      </c>
      <c r="D472" t="str">
        <f>"108/11/06"</f>
        <v>108/11/06</v>
      </c>
      <c r="E472" t="str">
        <f>"2019/11/6 上午 12:00:00"</f>
        <v>2019/11/6 上午 12:00:00</v>
      </c>
      <c r="F472" t="str">
        <f>"A1"</f>
        <v>A1</v>
      </c>
    </row>
    <row r="473" spans="1:6" ht="16.5">
      <c r="A473" t="str">
        <f>"AA008021969"</f>
        <v>AA008021969</v>
      </c>
      <c r="B473" t="str">
        <f>"A1 林傅燈雲住宅新建工程"</f>
        <v>A1 林傅燈雲住宅新建工程</v>
      </c>
      <c r="C473" t="str">
        <f>"108中都建字第00226號"</f>
        <v>108中都建字第00226號</v>
      </c>
      <c r="D473" t="str">
        <f>"108/11/25"</f>
        <v>108/11/25</v>
      </c>
      <c r="E473" t="str">
        <f>"2019/11/25 上午 12:00:00"</f>
        <v>2019/11/25 上午 12:00:00</v>
      </c>
      <c r="F473" t="str">
        <f>"A1"</f>
        <v>A1</v>
      </c>
    </row>
    <row r="474" spans="1:6" ht="16.5">
      <c r="A474" t="str">
        <f>"AA008022922"</f>
        <v>AA008022922</v>
      </c>
      <c r="B474" t="str">
        <f>"宇舜建設有限公司 等2戶店鋪住宅 新建工程"</f>
        <v>宇舜建設有限公司 等2戶店鋪住宅 新建工程</v>
      </c>
      <c r="C474" t="str">
        <f>"(108)南工造字第00192~00193號"</f>
        <v>(108)南工造字第00192~00193號</v>
      </c>
      <c r="D474" t="str">
        <f>"108/11/18"</f>
        <v>108/11/18</v>
      </c>
      <c r="E474" t="str">
        <f>"2019/11/18 上午 12:00:00"</f>
        <v>2019/11/18 上午 12:00:00</v>
      </c>
      <c r="F474" t="str">
        <f>"A1"</f>
        <v>A1</v>
      </c>
    </row>
    <row r="475" spans="1:6" ht="16.5">
      <c r="A475" t="str">
        <f>"AA008023280"</f>
        <v>AA008023280</v>
      </c>
      <c r="B475" t="str">
        <f>"A1-邱俊忠1FX1戶住宅新建工程"</f>
        <v>A1-邱俊忠1FX1戶住宅新建工程</v>
      </c>
      <c r="C475" t="str">
        <f>"(108)嘉布鎮建字第00003號"</f>
        <v>(108)嘉布鎮建字第00003號</v>
      </c>
      <c r="D475" t="str">
        <f>"108/11/14"</f>
        <v>108/11/14</v>
      </c>
      <c r="E475" t="str">
        <f>"2019/11/14 上午 12:00:00"</f>
        <v>2019/11/14 上午 12:00:00</v>
      </c>
      <c r="F475" t="str">
        <f>"A1"</f>
        <v>A1</v>
      </c>
    </row>
    <row r="476" spans="1:6" ht="16.5">
      <c r="A476" t="str">
        <f>"AA008023589"</f>
        <v>AA008023589</v>
      </c>
      <c r="B476" t="str">
        <f>"翁錦清新建農糧產品加工室"</f>
        <v>翁錦清新建農糧產品加工室</v>
      </c>
      <c r="C476" t="str">
        <f>"(108)府建字第00083號"</f>
        <v>(108)府建字第00083號</v>
      </c>
      <c r="D476" t="str">
        <f>"108/11/04"</f>
        <v>108/11/04</v>
      </c>
      <c r="E476" t="str">
        <f>"2019/11/4 上午 12:00:00"</f>
        <v>2019/11/4 上午 12:00:00</v>
      </c>
      <c r="F476" t="str">
        <f>"A1"</f>
        <v>A1</v>
      </c>
    </row>
    <row r="477" spans="1:6" ht="16.5">
      <c r="A477" t="str">
        <f>"AA008025324"</f>
        <v>AA008025324</v>
      </c>
      <c r="B477" t="str">
        <f>"富喬斗六純氧廠增設工程"</f>
        <v>富喬斗六純氧廠增設工程</v>
      </c>
      <c r="C477" t="str">
        <f>"(108)(雲)營建字第00127號"</f>
        <v>(108)(雲)營建字第00127號</v>
      </c>
      <c r="D477" t="str">
        <f>"108/11/10"</f>
        <v>108/11/10</v>
      </c>
      <c r="E477" t="str">
        <f>"2019/11/8 上午 12:00:00"</f>
        <v>2019/11/8 上午 12:00:00</v>
      </c>
      <c r="F477" t="str">
        <f>"C1"</f>
        <v>C1</v>
      </c>
    </row>
    <row r="478" spans="1:6" ht="16.5">
      <c r="A478" t="str">
        <f>"AA008027292"</f>
        <v>AA008027292</v>
      </c>
      <c r="B478" t="str">
        <f>"A-江蕙卿等7戶店鋪新建工程"</f>
        <v>A-江蕙卿等7戶店鋪新建工程</v>
      </c>
      <c r="C478" t="str">
        <f>"A 108 嘉市府都建執字第0000081~0000087號"</f>
        <v>A 108 嘉市府都建執字第0000081~0000087號</v>
      </c>
      <c r="D478" t="str">
        <f>"108/11/04"</f>
        <v>108/11/04</v>
      </c>
      <c r="E478" t="str">
        <f>"2019/11/1 上午 12:00:00"</f>
        <v>2019/11/1 上午 12:00:00</v>
      </c>
      <c r="F478" t="str">
        <f>"A1"</f>
        <v>A1</v>
      </c>
    </row>
    <row r="479" spans="1:6" ht="16.5">
      <c r="A479" t="str">
        <f>"AA008027311"</f>
        <v>AA008027311</v>
      </c>
      <c r="B479" t="str">
        <f>"C1(C2)新北市政府原住民族行政局三峽原住民族生活文化園區部落聚會所興建工程"</f>
        <v>C1(C2)新北市政府原住民族行政局三峽原住民族生活文化園區部落聚會所興建工程</v>
      </c>
      <c r="C479" t="str">
        <f>"108峽建字第00065號"</f>
        <v>108峽建字第00065號</v>
      </c>
      <c r="D479" t="str">
        <f>"108/11/17"</f>
        <v>108/11/17</v>
      </c>
      <c r="E479" t="str">
        <f>"2019/11/15 上午 12:00:00"</f>
        <v>2019/11/15 上午 12:00:00</v>
      </c>
      <c r="F479" t="s">
        <v>6</v>
      </c>
    </row>
    <row r="480" spans="1:6" ht="16.5">
      <c r="A480" t="str">
        <f>"AA008027820"</f>
        <v>AA008027820</v>
      </c>
      <c r="B480" t="str">
        <f>"高雄市政府社會局-大樹社區式服務類長期照顧服務機構新建工程"</f>
        <v>高雄市政府社會局-大樹社區式服務類長期照顧服務機構新建工程</v>
      </c>
      <c r="C480" t="str">
        <f>"(108)高市工建築字00174號"</f>
        <v>(108)高市工建築字00174號</v>
      </c>
      <c r="D480" t="str">
        <f>"108/11/24"</f>
        <v>108/11/24</v>
      </c>
      <c r="E480" t="str">
        <f>"2019/11/20 上午 12:00:00"</f>
        <v>2019/11/20 上午 12:00:00</v>
      </c>
      <c r="F480" t="s">
        <v>6</v>
      </c>
    </row>
    <row r="481" spans="1:6" ht="16.5">
      <c r="A481" t="str">
        <f>"AA008028144"</f>
        <v>AA008028144</v>
      </c>
      <c r="B481" t="str">
        <f>"C1 賴煌烈 星光幼兒園新建工程"</f>
        <v>C1 賴煌烈 星光幼兒園新建工程</v>
      </c>
      <c r="C481" t="str">
        <f>"107中都建字第01770號"</f>
        <v>107中都建字第01770號</v>
      </c>
      <c r="D481" t="str">
        <f>"108/11/05"</f>
        <v>108/11/05</v>
      </c>
      <c r="E481" t="str">
        <f>"2019/10/31 上午 12:00:00"</f>
        <v>2019/10/31 上午 12:00:00</v>
      </c>
      <c r="F481" t="str">
        <f>"C1"</f>
        <v>C1</v>
      </c>
    </row>
    <row r="482" spans="1:6" ht="16.5">
      <c r="A482" t="str">
        <f>"AA008034443"</f>
        <v>AA008034443</v>
      </c>
      <c r="B482" t="str">
        <f>"敘陞建設2戶住宅新建工程"</f>
        <v>敘陞建設2戶住宅新建工程</v>
      </c>
      <c r="C482" t="str">
        <f>"(108)高市工建築字第00569~00570號"</f>
        <v>(108)高市工建築字第00569~00570號</v>
      </c>
      <c r="D482" t="str">
        <f>"108/11/07"</f>
        <v>108/11/07</v>
      </c>
      <c r="E482" t="str">
        <f>"2019/10/31 上午 12:00:00"</f>
        <v>2019/10/31 上午 12:00:00</v>
      </c>
      <c r="F482" t="str">
        <f>"A1"</f>
        <v>A1</v>
      </c>
    </row>
    <row r="483" spans="1:6" ht="16.5">
      <c r="A483" t="str">
        <f>"AA008035360"</f>
        <v>AA008035360</v>
      </c>
      <c r="B483" t="str">
        <f>"連莉建設有限公司住宅新建工程"</f>
        <v>連莉建設有限公司住宅新建工程</v>
      </c>
      <c r="C483" t="str">
        <f>"(108)桃市都建執照字第會觀00250號"</f>
        <v>(108)桃市都建執照字第會觀00250號</v>
      </c>
      <c r="D483" t="str">
        <f>"108/11/26"</f>
        <v>108/11/26</v>
      </c>
      <c r="E483" t="str">
        <f>"2019/11/20 上午 12:00:00"</f>
        <v>2019/11/20 上午 12:00:00</v>
      </c>
      <c r="F483" t="s">
        <v>6</v>
      </c>
    </row>
    <row r="484" spans="1:6" ht="16.5">
      <c r="A484" t="str">
        <f>"AA008036608"</f>
        <v>AA008036608</v>
      </c>
      <c r="B484" t="str">
        <f>"黃朝聖等四戶住宅新建工程(第一次變更)"</f>
        <v>黃朝聖等四戶住宅新建工程(第一次變更)</v>
      </c>
      <c r="C484" t="str">
        <f>"(106)高市工建築字第01519-01、01520-02~01522-02號"</f>
        <v>(106)高市工建築字第01519-01、01520-02~01522-02號</v>
      </c>
      <c r="D484" t="str">
        <f>"108/11/19"</f>
        <v>108/11/19</v>
      </c>
      <c r="E484" t="str">
        <f>"2019/11/18 上午 12:00:00"</f>
        <v>2019/11/18 上午 12:00:00</v>
      </c>
      <c r="F484" t="str">
        <f>"A1"</f>
        <v>A1</v>
      </c>
    </row>
    <row r="485" spans="1:6" ht="16.5">
      <c r="A485" t="str">
        <f>"AA008037623"</f>
        <v>AA008037623</v>
      </c>
      <c r="B485" t="str">
        <f>"潘旗學(3Fx1戶)住宅"</f>
        <v>潘旗學(3Fx1戶)住宅</v>
      </c>
      <c r="C485" t="str">
        <f>"(108)南工造字第 00677 號"</f>
        <v>(108)南工造字第 00677 號</v>
      </c>
      <c r="D485" t="str">
        <f>"108/11/19"</f>
        <v>108/11/19</v>
      </c>
      <c r="E485" t="str">
        <f>"2019/11/19 上午 12:00:00"</f>
        <v>2019/11/19 上午 12:00:00</v>
      </c>
      <c r="F485" t="str">
        <f>"A1"</f>
        <v>A1</v>
      </c>
    </row>
    <row r="486" spans="1:6" ht="16.5">
      <c r="A486" t="str">
        <f>"AA008038131"</f>
        <v>AA008038131</v>
      </c>
      <c r="B486" t="str">
        <f>"詠益開發建設(14戶X3F)店鋪住宅停車空間"</f>
        <v>詠益開發建設(14戶X3F)店鋪住宅停車空間</v>
      </c>
      <c r="C486" t="str">
        <f>"(108)南工造字第00845~00858號"</f>
        <v>(108)南工造字第00845~00858號</v>
      </c>
      <c r="D486" t="str">
        <f>"108/11/28"</f>
        <v>108/11/28</v>
      </c>
      <c r="E486" t="str">
        <f>"2019/11/28 上午 12:00:00"</f>
        <v>2019/11/28 上午 12:00:00</v>
      </c>
      <c r="F486" t="str">
        <f>"A1"</f>
        <v>A1</v>
      </c>
    </row>
    <row r="487" spans="1:6" ht="16.5">
      <c r="A487" t="str">
        <f>"AA008039428"</f>
        <v>AA008039428</v>
      </c>
      <c r="B487" t="str">
        <f>"晨和建設開發有限公司6戶住宅"</f>
        <v>晨和建設開發有限公司6戶住宅</v>
      </c>
      <c r="C487" t="str">
        <f>"(108)南工造字 第00925~00930號"</f>
        <v>(108)南工造字 第00925~00930號</v>
      </c>
      <c r="D487" t="str">
        <f>"108/11/11"</f>
        <v>108/11/11</v>
      </c>
      <c r="E487" t="str">
        <f>"2019/11/11 上午 12:00:00"</f>
        <v>2019/11/11 上午 12:00:00</v>
      </c>
      <c r="F487" t="str">
        <f>"A1"</f>
        <v>A1</v>
      </c>
    </row>
    <row r="488" spans="1:6" ht="16.5">
      <c r="A488" t="str">
        <f>"AA008039863"</f>
        <v>AA008039863</v>
      </c>
      <c r="B488" t="str">
        <f>"B1 王永聖店舖新建工程"</f>
        <v>B1 王永聖店舖新建工程</v>
      </c>
      <c r="C488" t="str">
        <f>"108中都建字第00473號"</f>
        <v>108中都建字第00473號</v>
      </c>
      <c r="D488" t="str">
        <f>"108/11/02"</f>
        <v>108/11/02</v>
      </c>
      <c r="E488" t="str">
        <f>"2019/11/1 上午 12:00:00"</f>
        <v>2019/11/1 上午 12:00:00</v>
      </c>
      <c r="F488" t="str">
        <f>"B1"</f>
        <v>B1</v>
      </c>
    </row>
    <row r="489" spans="1:6" ht="16.5">
      <c r="A489" t="str">
        <f>"AA008041090"</f>
        <v>AA008041090</v>
      </c>
      <c r="B489" t="str">
        <f>"黃健智住宅新建工程"</f>
        <v>黃健智住宅新建工程</v>
      </c>
      <c r="C489" t="str">
        <f>"(108)南工造字第00834號"</f>
        <v>(108)南工造字第00834號</v>
      </c>
      <c r="D489" t="str">
        <f>"108/11/11"</f>
        <v>108/11/11</v>
      </c>
      <c r="E489" t="str">
        <f>"2019/11/11 上午 12:00:00"</f>
        <v>2019/11/11 上午 12:00:00</v>
      </c>
      <c r="F489" t="str">
        <f>"A1"</f>
        <v>A1</v>
      </c>
    </row>
    <row r="490" spans="1:6" ht="16.5">
      <c r="A490" t="str">
        <f>"AA008041820"</f>
        <v>AA008041820</v>
      </c>
      <c r="B490" t="str">
        <f>"東力科技園區新建工程"</f>
        <v>東力科技園區新建工程</v>
      </c>
      <c r="C490" t="str">
        <f>"(105)桃市都建執照字第會楊01077-01號"</f>
        <v>(105)桃市都建執照字第會楊01077-01號</v>
      </c>
      <c r="D490" t="str">
        <f>"108/11/28"</f>
        <v>108/11/28</v>
      </c>
      <c r="E490" t="str">
        <f>"2019/11/20 上午 12:00:00"</f>
        <v>2019/11/20 上午 12:00:00</v>
      </c>
      <c r="F490" t="s">
        <v>10</v>
      </c>
    </row>
    <row r="491" spans="1:6" ht="16.5">
      <c r="A491" t="str">
        <f>"YL108043418"</f>
        <v>YL108043418</v>
      </c>
      <c r="B491" t="str">
        <f>"A1-東豪冷凍食品股份有限公司-倉儲設施、機房新建工程(無電信設備)"</f>
        <v>A1-東豪冷凍食品股份有限公司-倉儲設施、機房新建工程(無電信設備)</v>
      </c>
      <c r="C491" t="str">
        <f>"(108)(雲)營建字第92號"</f>
        <v>(108)(雲)營建字第92號</v>
      </c>
      <c r="D491" t="str">
        <f>"108/11/20"</f>
        <v>108/11/20</v>
      </c>
      <c r="E491" t="str">
        <f>"2019/11/20 上午 12:00:00"</f>
        <v>2019/11/20 上午 12:00:00</v>
      </c>
      <c r="F491" t="str">
        <f>"A1"</f>
        <v>A1</v>
      </c>
    </row>
    <row r="492" spans="1:6" ht="16.5">
      <c r="A492" t="str">
        <f>"AA008045168"</f>
        <v>AA008045168</v>
      </c>
      <c r="B492" t="str">
        <f>"王文貴玄天宮寺廟新建工程"</f>
        <v>王文貴玄天宮寺廟新建工程</v>
      </c>
      <c r="C492" t="str">
        <f>"(107)南工造字第05463號"</f>
        <v>(107)南工造字第05463號</v>
      </c>
      <c r="D492" t="str">
        <f>"108/11/25"</f>
        <v>108/11/25</v>
      </c>
      <c r="E492" t="str">
        <f>"2019/11/25 上午 12:00:00"</f>
        <v>2019/11/25 上午 12:00:00</v>
      </c>
      <c r="F492" t="str">
        <f>"C1"</f>
        <v>C1</v>
      </c>
    </row>
    <row r="493" spans="1:6" ht="16.5">
      <c r="A493" t="str">
        <f>"AA008049029"</f>
        <v>AA008049029</v>
      </c>
      <c r="B493" t="s">
        <v>51</v>
      </c>
      <c r="C493" t="str">
        <f>"(108)屏府城管建(佳)字第00271~00273號"</f>
        <v>(108)屏府城管建(佳)字第00271~00273號</v>
      </c>
      <c r="D493" t="str">
        <f>"108/11/18"</f>
        <v>108/11/18</v>
      </c>
      <c r="E493" t="str">
        <f>"2019/11/13 上午 12:00:00"</f>
        <v>2019/11/13 上午 12:00:00</v>
      </c>
      <c r="F493" t="str">
        <f>"B1"</f>
        <v>B1</v>
      </c>
    </row>
    <row r="494" spans="1:6" ht="16.5">
      <c r="A494" t="str">
        <f>"AA008050083"</f>
        <v>AA008050083</v>
      </c>
      <c r="B494" t="str">
        <f>"C1 冠羿驗證股份有限公司廠房新建工程"</f>
        <v>C1 冠羿驗證股份有限公司廠房新建工程</v>
      </c>
      <c r="C494" t="str">
        <f>"(108)府建管(建)字第0096133號"</f>
        <v>(108)府建管(建)字第0096133號</v>
      </c>
      <c r="D494" t="str">
        <f>"108/11/30"</f>
        <v>108/11/30</v>
      </c>
      <c r="E494" t="str">
        <f>"2019/11/25 上午 12:00:00"</f>
        <v>2019/11/25 上午 12:00:00</v>
      </c>
      <c r="F494" t="str">
        <f>"C1"</f>
        <v>C1</v>
      </c>
    </row>
    <row r="495" spans="1:6" ht="16.5">
      <c r="A495" t="str">
        <f>"AA008050713"</f>
        <v>AA008050713</v>
      </c>
      <c r="B495" t="str">
        <f>"廖秋容6戶廠房新建工程"</f>
        <v>廖秋容6戶廠房新建工程</v>
      </c>
      <c r="C495" t="str">
        <f>"(108)雲營二鄉建字第00010~00015號"</f>
        <v>(108)雲營二鄉建字第00010~00015號</v>
      </c>
      <c r="D495" t="str">
        <f>"108/11/04"</f>
        <v>108/11/04</v>
      </c>
      <c r="E495" t="str">
        <f>"2019/11/1 上午 12:00:00"</f>
        <v>2019/11/1 上午 12:00:00</v>
      </c>
      <c r="F495" t="str">
        <f>"B1"</f>
        <v>B1</v>
      </c>
    </row>
    <row r="496" spans="1:6" ht="16.5">
      <c r="A496" t="str">
        <f>"AA008050820"</f>
        <v>AA008050820</v>
      </c>
      <c r="B496" t="str">
        <f>"吳彩萍斗六市住宅新建工程"</f>
        <v>吳彩萍斗六市住宅新建工程</v>
      </c>
      <c r="C496" t="str">
        <f>"(108)(雲)營建字第00245號"</f>
        <v>(108)(雲)營建字第00245號</v>
      </c>
      <c r="D496" t="str">
        <f>"108/11/12"</f>
        <v>108/11/12</v>
      </c>
      <c r="E496" t="str">
        <f>"2019/11/12 上午 12:00:00"</f>
        <v>2019/11/12 上午 12:00:00</v>
      </c>
      <c r="F496" t="str">
        <f>"A1"</f>
        <v>A1</v>
      </c>
    </row>
    <row r="497" spans="1:6" ht="16.5">
      <c r="A497" t="str">
        <f>"AA008053922"</f>
        <v>AA008053922</v>
      </c>
      <c r="B497" t="str">
        <f>"黃清音仁雄段店鋪新建工程"</f>
        <v>黃清音仁雄段店鋪新建工程</v>
      </c>
      <c r="C497" t="str">
        <f>"(108)高市工建築字第00749號"</f>
        <v>(108)高市工建築字第00749號</v>
      </c>
      <c r="D497" t="str">
        <f>"108/11/12"</f>
        <v>108/11/12</v>
      </c>
      <c r="E497" t="str">
        <f>"2019/11/12 上午 12:00:00"</f>
        <v>2019/11/12 上午 12:00:00</v>
      </c>
      <c r="F497" t="str">
        <f>"B1"</f>
        <v>B1</v>
      </c>
    </row>
    <row r="498" spans="1:6" ht="16.5">
      <c r="A498" t="str">
        <f>"AA008054562"</f>
        <v>AA008054562</v>
      </c>
      <c r="B498" t="str">
        <f>"B1 徐瑞旻店鋪新建工程"</f>
        <v>B1 徐瑞旻店鋪新建工程</v>
      </c>
      <c r="C498" t="str">
        <f>"(108)府建管(建)字第0123507號"</f>
        <v>(108)府建管(建)字第0123507號</v>
      </c>
      <c r="D498" t="str">
        <f>"108/11/20"</f>
        <v>108/11/20</v>
      </c>
      <c r="E498" t="str">
        <f>"2019/11/20 上午 12:00:00"</f>
        <v>2019/11/20 上午 12:00:00</v>
      </c>
      <c r="F498" t="str">
        <f>"B1"</f>
        <v>B1</v>
      </c>
    </row>
    <row r="499" spans="1:6" ht="16.5">
      <c r="A499" t="str">
        <f>"AA008056173"</f>
        <v>AA008056173</v>
      </c>
      <c r="B499" t="str">
        <f>"鄭玉蓮農舍新建工程"</f>
        <v>鄭玉蓮農舍新建工程</v>
      </c>
      <c r="C499" t="str">
        <f>"(101)栗商建銅建字第00003號"</f>
        <v>(101)栗商建銅建字第00003號</v>
      </c>
      <c r="D499" t="str">
        <f>"108/11/28"</f>
        <v>108/11/28</v>
      </c>
      <c r="E499" t="str">
        <f>"2019/11/27 上午 12:00:00"</f>
        <v>2019/11/27 上午 12:00:00</v>
      </c>
      <c r="F499" t="str">
        <f aca="true" t="shared" si="10" ref="F499:F504">"A1"</f>
        <v>A1</v>
      </c>
    </row>
    <row r="500" spans="1:6" ht="16.5">
      <c r="A500" t="str">
        <f>"AA008056180"</f>
        <v>AA008056180</v>
      </c>
      <c r="B500" t="str">
        <f>"陳瑤琴農舍新建工程"</f>
        <v>陳瑤琴農舍新建工程</v>
      </c>
      <c r="C500" t="str">
        <f>"(101)栗商建銅建字第00009號"</f>
        <v>(101)栗商建銅建字第00009號</v>
      </c>
      <c r="D500" t="str">
        <f>"108/11/28"</f>
        <v>108/11/28</v>
      </c>
      <c r="E500" t="str">
        <f>"2019/11/27 上午 12:00:00"</f>
        <v>2019/11/27 上午 12:00:00</v>
      </c>
      <c r="F500" t="str">
        <f t="shared" si="10"/>
        <v>A1</v>
      </c>
    </row>
    <row r="501" spans="1:6" ht="16.5">
      <c r="A501" t="str">
        <f>"AA008056221"</f>
        <v>AA008056221</v>
      </c>
      <c r="B501" t="str">
        <f>"余俊賢農舍新建工程"</f>
        <v>余俊賢農舍新建工程</v>
      </c>
      <c r="C501" t="str">
        <f>"(101)栗商建銅建字第00010號"</f>
        <v>(101)栗商建銅建字第00010號</v>
      </c>
      <c r="D501" t="str">
        <f>"108/11/28"</f>
        <v>108/11/28</v>
      </c>
      <c r="E501" t="str">
        <f>"2019/11/27 上午 12:00:00"</f>
        <v>2019/11/27 上午 12:00:00</v>
      </c>
      <c r="F501" t="str">
        <f t="shared" si="10"/>
        <v>A1</v>
      </c>
    </row>
    <row r="502" spans="1:6" ht="16.5">
      <c r="A502" t="str">
        <f>"AA008056234"</f>
        <v>AA008056234</v>
      </c>
      <c r="B502" t="str">
        <f>"余思賢農舍新建工程"</f>
        <v>余思賢農舍新建工程</v>
      </c>
      <c r="C502" t="str">
        <f>"(101)栗商建銅建字第00011號"</f>
        <v>(101)栗商建銅建字第00011號</v>
      </c>
      <c r="D502" t="str">
        <f>"108/11/28"</f>
        <v>108/11/28</v>
      </c>
      <c r="E502" t="str">
        <f>"2019/11/27 上午 12:00:00"</f>
        <v>2019/11/27 上午 12:00:00</v>
      </c>
      <c r="F502" t="str">
        <f t="shared" si="10"/>
        <v>A1</v>
      </c>
    </row>
    <row r="503" spans="1:6" ht="16.5">
      <c r="A503" t="str">
        <f>"AA008057922"</f>
        <v>AA008057922</v>
      </c>
      <c r="B503" t="str">
        <f>"余仁豪農舍新建工程"</f>
        <v>余仁豪農舍新建工程</v>
      </c>
      <c r="C503" t="str">
        <f>"(101)栗商建銅建字第00004號"</f>
        <v>(101)栗商建銅建字第00004號</v>
      </c>
      <c r="D503" t="str">
        <f>"108/11/28"</f>
        <v>108/11/28</v>
      </c>
      <c r="E503" t="str">
        <f>"2019/11/27 上午 12:00:00"</f>
        <v>2019/11/27 上午 12:00:00</v>
      </c>
      <c r="F503" t="str">
        <f t="shared" si="10"/>
        <v>A1</v>
      </c>
    </row>
    <row r="504" spans="1:6" ht="16.5">
      <c r="A504" t="str">
        <f>"AA008059795"</f>
        <v>AA008059795</v>
      </c>
      <c r="B504" t="str">
        <f>"蔡裕民  (2F×1戶)住宅新建工程"</f>
        <v>蔡裕民  (2F×1戶)住宅新建工程</v>
      </c>
      <c r="C504" t="str">
        <f>"(108)南工造字第01324號"</f>
        <v>(108)南工造字第01324號</v>
      </c>
      <c r="D504" t="str">
        <f>"108/11/11"</f>
        <v>108/11/11</v>
      </c>
      <c r="E504" t="str">
        <f>"2019/11/11 上午 12:00:00"</f>
        <v>2019/11/11 上午 12:00:00</v>
      </c>
      <c r="F504" t="str">
        <f t="shared" si="10"/>
        <v>A1</v>
      </c>
    </row>
    <row r="505" spans="1:6" ht="16.5">
      <c r="A505" t="str">
        <f>"AA008060414"</f>
        <v>AA008060414</v>
      </c>
      <c r="B505" t="str">
        <f>"莊訓國2戶店舖新建工程"</f>
        <v>莊訓國2戶店舖新建工程</v>
      </c>
      <c r="C505" t="str">
        <f>"(108)高市工建築字第01102~01103號 "</f>
        <v>(108)高市工建築字第01102~01103號 </v>
      </c>
      <c r="D505" t="str">
        <f>"108/11/11"</f>
        <v>108/11/11</v>
      </c>
      <c r="E505" t="str">
        <f>"2019/11/7 上午 12:00:00"</f>
        <v>2019/11/7 上午 12:00:00</v>
      </c>
      <c r="F505" t="str">
        <f>"B1"</f>
        <v>B1</v>
      </c>
    </row>
    <row r="506" spans="1:6" ht="16.5">
      <c r="A506" t="str">
        <f>"AA008061029"</f>
        <v>AA008061029</v>
      </c>
      <c r="B506" t="str">
        <f>"康淵博住宅新建工程(第一次變更設計)"</f>
        <v>康淵博住宅新建工程(第一次變更設計)</v>
      </c>
      <c r="C506" t="str">
        <f>"(107)高市工建築字第01244號"</f>
        <v>(107)高市工建築字第01244號</v>
      </c>
      <c r="D506" t="str">
        <f>"108/11/18"</f>
        <v>108/11/18</v>
      </c>
      <c r="E506" t="str">
        <f>"2019/11/17 上午 12:00:00"</f>
        <v>2019/11/17 上午 12:00:00</v>
      </c>
      <c r="F506" t="str">
        <f>"A1"</f>
        <v>A1</v>
      </c>
    </row>
    <row r="507" spans="1:6" ht="16.5">
      <c r="A507" t="str">
        <f>"AA008061593"</f>
        <v>AA008061593</v>
      </c>
      <c r="B507" t="str">
        <f>"新天宮 住宅 新建工程"</f>
        <v>新天宮 住宅 新建工程</v>
      </c>
      <c r="C507" t="str">
        <f>"(108)南工造字第01604號"</f>
        <v>(108)南工造字第01604號</v>
      </c>
      <c r="D507" t="str">
        <f>"108/11/12"</f>
        <v>108/11/12</v>
      </c>
      <c r="E507" t="str">
        <f>"2019/11/12 上午 12:00:00"</f>
        <v>2019/11/12 上午 12:00:00</v>
      </c>
      <c r="F507" t="str">
        <f>"A1"</f>
        <v>A1</v>
      </c>
    </row>
    <row r="508" spans="1:6" ht="16.5">
      <c r="A508" t="str">
        <f>"AA008065414"</f>
        <v>AA008065414</v>
      </c>
      <c r="B508" t="str">
        <f>"A1-柯兆榮住宅新建工程"</f>
        <v>A1-柯兆榮住宅新建工程</v>
      </c>
      <c r="C508" t="str">
        <f>"108嘉朴建字第02號"</f>
        <v>108嘉朴建字第02號</v>
      </c>
      <c r="D508" t="str">
        <f>"108/11/25"</f>
        <v>108/11/25</v>
      </c>
      <c r="E508" t="str">
        <f>"2019/11/25 上午 12:00:00"</f>
        <v>2019/11/25 上午 12:00:00</v>
      </c>
      <c r="F508" t="str">
        <f>"A1"</f>
        <v>A1</v>
      </c>
    </row>
    <row r="509" spans="1:6" ht="16.5">
      <c r="A509" t="str">
        <f>"AA008066949"</f>
        <v>AA008066949</v>
      </c>
      <c r="B509" t="str">
        <f>"A1x2 詹朝任二戶住宅新建工程"</f>
        <v>A1x2 詹朝任二戶住宅新建工程</v>
      </c>
      <c r="C509" t="s">
        <v>52</v>
      </c>
      <c r="D509" t="str">
        <f>"108/11/05"</f>
        <v>108/11/05</v>
      </c>
      <c r="E509" t="str">
        <f>"2019/11/5 上午 12:00:00"</f>
        <v>2019/11/5 上午 12:00:00</v>
      </c>
      <c r="F509" t="str">
        <f>"A1"</f>
        <v>A1</v>
      </c>
    </row>
    <row r="510" spans="1:6" ht="16.5">
      <c r="A510" t="str">
        <f>"AA008068683"</f>
        <v>AA008068683</v>
      </c>
      <c r="B510" t="str">
        <f>"典雅建設龍岡道3戶住宅新建工程"</f>
        <v>典雅建設龍岡道3戶住宅新建工程</v>
      </c>
      <c r="C510" t="str">
        <f>" (106)栗商建苗建字第00089號"</f>
        <v> (106)栗商建苗建字第00089號</v>
      </c>
      <c r="D510" t="str">
        <f>"108/11/18"</f>
        <v>108/11/18</v>
      </c>
      <c r="E510" t="str">
        <f>"2019/11/8 上午 12:00:00"</f>
        <v>2019/11/8 上午 12:00:00</v>
      </c>
      <c r="F510" t="s">
        <v>7</v>
      </c>
    </row>
    <row r="511" spans="1:6" ht="16.5">
      <c r="A511" t="str">
        <f>"AA008070209"</f>
        <v>AA008070209</v>
      </c>
      <c r="B511" t="str">
        <f>"永康大灣段店鋪新建工程(1Fx1戶)"</f>
        <v>永康大灣段店鋪新建工程(1Fx1戶)</v>
      </c>
      <c r="C511" t="str">
        <f>"(107)南工造字第01143-01號"</f>
        <v>(107)南工造字第01143-01號</v>
      </c>
      <c r="D511" t="str">
        <f>"108/11/13"</f>
        <v>108/11/13</v>
      </c>
      <c r="E511" t="str">
        <f>"2019/11/13 上午 12:00:00"</f>
        <v>2019/11/13 上午 12:00:00</v>
      </c>
      <c r="F511" t="str">
        <f>"B1"</f>
        <v>B1</v>
      </c>
    </row>
    <row r="512" spans="1:6" ht="16.5">
      <c r="A512" t="str">
        <f>"AA008077683"</f>
        <v>AA008077683</v>
      </c>
      <c r="B512" t="str">
        <f>"顏次郎店鋪"</f>
        <v>顏次郎店鋪</v>
      </c>
      <c r="C512" t="str">
        <f>"(108)南工造字第02077號"</f>
        <v>(108)南工造字第02077號</v>
      </c>
      <c r="D512" t="str">
        <f>"108/11/24"</f>
        <v>108/11/24</v>
      </c>
      <c r="E512" t="str">
        <f>"2019/11/20 上午 12:00:00"</f>
        <v>2019/11/20 上午 12:00:00</v>
      </c>
      <c r="F512" t="str">
        <f>"B1"</f>
        <v>B1</v>
      </c>
    </row>
    <row r="513" spans="1:6" ht="16.5">
      <c r="A513" t="str">
        <f>"AA008078263"</f>
        <v>AA008078263</v>
      </c>
      <c r="B513" t="str">
        <f>"陳榮喜1F1戶住宅新建工程"</f>
        <v>陳榮喜1F1戶住宅新建工程</v>
      </c>
      <c r="C513" t="str">
        <f>"(108)南工造字第02230號"</f>
        <v>(108)南工造字第02230號</v>
      </c>
      <c r="D513" t="str">
        <f>"108/11/04"</f>
        <v>108/11/04</v>
      </c>
      <c r="E513" t="str">
        <f>"2019/11/4 上午 12:00:00"</f>
        <v>2019/11/4 上午 12:00:00</v>
      </c>
      <c r="F513" t="str">
        <f>"A1"</f>
        <v>A1</v>
      </c>
    </row>
    <row r="514" spans="1:6" ht="16.5">
      <c r="A514" t="str">
        <f>"AA008078720"</f>
        <v>AA008078720</v>
      </c>
      <c r="B514" t="str">
        <f>"萬大漁市新增臨時中繼設施(設備)工程"</f>
        <v>萬大漁市新增臨時中繼設施(設備)工程</v>
      </c>
      <c r="C514" t="s">
        <v>53</v>
      </c>
      <c r="D514" t="str">
        <f>"108/11/04"</f>
        <v>108/11/04</v>
      </c>
      <c r="E514" t="str">
        <f>"2019/10/25 上午 12:00:00"</f>
        <v>2019/10/25 上午 12:00:00</v>
      </c>
      <c r="F514" t="s">
        <v>6</v>
      </c>
    </row>
    <row r="515" spans="1:6" ht="16.5">
      <c r="A515" t="str">
        <f>"AA008079104"</f>
        <v>AA008079104</v>
      </c>
      <c r="B515" t="str">
        <f>"方琮清(1FX5戶)店鋪 新建工程"</f>
        <v>方琮清(1FX5戶)店鋪 新建工程</v>
      </c>
      <c r="C515" t="str">
        <f>"(108)南工造字第02119~02123號"</f>
        <v>(108)南工造字第02119~02123號</v>
      </c>
      <c r="D515" t="str">
        <f>"108/11/14"</f>
        <v>108/11/14</v>
      </c>
      <c r="E515" t="str">
        <f>"2019/11/13 上午 12:00:00"</f>
        <v>2019/11/13 上午 12:00:00</v>
      </c>
      <c r="F515" t="s">
        <v>9</v>
      </c>
    </row>
    <row r="516" spans="1:6" ht="16.5">
      <c r="A516" t="str">
        <f>"AA008079969"</f>
        <v>AA008079969</v>
      </c>
      <c r="B516" t="str">
        <f>"一等建設實業股份有限公司"</f>
        <v>一等建設實業股份有限公司</v>
      </c>
      <c r="C516" t="str">
        <f>"(108)南工造字第00583~00591-01號"</f>
        <v>(108)南工造字第00583~00591-01號</v>
      </c>
      <c r="D516" t="str">
        <f>"108/11/24"</f>
        <v>108/11/24</v>
      </c>
      <c r="E516" t="str">
        <f>"2019/11/22 上午 12:00:00"</f>
        <v>2019/11/22 上午 12:00:00</v>
      </c>
      <c r="F516" t="s">
        <v>12</v>
      </c>
    </row>
    <row r="517" spans="1:6" ht="16.5">
      <c r="A517" t="str">
        <f>"AA008080900"</f>
        <v>AA008080900</v>
      </c>
      <c r="B517" t="str">
        <f>"新光三重旅館第二次變更"</f>
        <v>新光三重旅館第二次變更</v>
      </c>
      <c r="C517" t="str">
        <f>"105重建字第00370號"</f>
        <v>105重建字第00370號</v>
      </c>
      <c r="D517" t="str">
        <f>"108/11/05"</f>
        <v>108/11/05</v>
      </c>
      <c r="E517" t="str">
        <f>"2019/10/4 上午 12:00:00"</f>
        <v>2019/10/4 上午 12:00:00</v>
      </c>
      <c r="F517" t="s">
        <v>19</v>
      </c>
    </row>
    <row r="518" spans="1:6" ht="16.5">
      <c r="A518" t="str">
        <f>"AA008081054"</f>
        <v>AA008081054</v>
      </c>
      <c r="B518" t="str">
        <f>"益萊倉儲物流股份有限公司"</f>
        <v>益萊倉儲物流股份有限公司</v>
      </c>
      <c r="C518" t="str">
        <f>"(107)桃市都建執照字第會蘆00861-03號"</f>
        <v>(107)桃市都建執照字第會蘆00861-03號</v>
      </c>
      <c r="D518" t="str">
        <f>"108/11/20"</f>
        <v>108/11/20</v>
      </c>
      <c r="E518" t="str">
        <f>"2019/11/15 上午 12:00:00"</f>
        <v>2019/11/15 上午 12:00:00</v>
      </c>
      <c r="F518" t="str">
        <f>"E1"</f>
        <v>E1</v>
      </c>
    </row>
    <row r="519" spans="1:6" ht="16.5">
      <c r="A519" t="str">
        <f>"AA008083550"</f>
        <v>AA008083550</v>
      </c>
      <c r="B519" t="str">
        <f>"高雄港前鎮倉設置海運快遞專區室內裝修工程"</f>
        <v>高雄港前鎮倉設置海運快遞專區室內裝修工程</v>
      </c>
      <c r="C519" t="str">
        <f>"(108)高市工室內裝修字第0031號"</f>
        <v>(108)高市工室內裝修字第0031號</v>
      </c>
      <c r="D519" t="str">
        <f>"108/11/02"</f>
        <v>108/11/02</v>
      </c>
      <c r="E519" t="str">
        <f>"2019/10/23 上午 12:00:00"</f>
        <v>2019/10/23 上午 12:00:00</v>
      </c>
      <c r="F519" t="str">
        <f>"C1"</f>
        <v>C1</v>
      </c>
    </row>
    <row r="520" spans="1:6" ht="16.5">
      <c r="A520" t="str">
        <f>"AA008083863"</f>
        <v>AA008083863</v>
      </c>
      <c r="B520" t="str">
        <f>"洪榮謙、洪瑞鴻2人1FX4戶店舖新建工程"</f>
        <v>洪榮謙、洪瑞鴻2人1FX4戶店舖新建工程</v>
      </c>
      <c r="C520" t="str">
        <f>"(108)南工造字第01690~01691號"</f>
        <v>(108)南工造字第01690~01691號</v>
      </c>
      <c r="D520" t="str">
        <f>"108/11/12"</f>
        <v>108/11/12</v>
      </c>
      <c r="E520" t="str">
        <f>"2019/11/6 上午 12:00:00"</f>
        <v>2019/11/6 上午 12:00:00</v>
      </c>
      <c r="F520" t="s">
        <v>9</v>
      </c>
    </row>
    <row r="521" spans="1:6" ht="16.5">
      <c r="A521" t="str">
        <f>"AA008088518"</f>
        <v>AA008088518</v>
      </c>
      <c r="B521" t="str">
        <f>"陳麗珠(愛因斯坦)幼兒園增建工程"</f>
        <v>陳麗珠(愛因斯坦)幼兒園增建工程</v>
      </c>
      <c r="C521" t="str">
        <f>"(108)南工造字第02588號"</f>
        <v>(108)南工造字第02588號</v>
      </c>
      <c r="D521" t="str">
        <f>"108/11/12"</f>
        <v>108/11/12</v>
      </c>
      <c r="E521" t="str">
        <f>"2019/11/12 上午 12:00:00"</f>
        <v>2019/11/12 上午 12:00:00</v>
      </c>
      <c r="F521" t="str">
        <f>"C1"</f>
        <v>C1</v>
      </c>
    </row>
    <row r="522" spans="1:6" ht="16.5">
      <c r="A522" t="str">
        <f>"AA008089221"</f>
        <v>AA008089221</v>
      </c>
      <c r="B522" t="s">
        <v>54</v>
      </c>
      <c r="C522" t="str">
        <f>"108金建字第00250號"</f>
        <v>108金建字第00250號</v>
      </c>
      <c r="D522" t="str">
        <f>"108/11/20"</f>
        <v>108/11/20</v>
      </c>
      <c r="E522" t="str">
        <f>"2019/11/20 上午 12:00:00"</f>
        <v>2019/11/20 上午 12:00:00</v>
      </c>
      <c r="F522" t="s">
        <v>9</v>
      </c>
    </row>
    <row r="523" spans="1:6" ht="16.5">
      <c r="A523" t="str">
        <f>"AA008092008"</f>
        <v>AA008092008</v>
      </c>
      <c r="B523" t="str">
        <f>"B1 長錤開發建設股份有限公司住宅新建工程"</f>
        <v>B1 長錤開發建設股份有限公司住宅新建工程</v>
      </c>
      <c r="C523" t="str">
        <f>"108中都建字第01438號"</f>
        <v>108中都建字第01438號</v>
      </c>
      <c r="D523" t="str">
        <f>"108/11/02"</f>
        <v>108/11/02</v>
      </c>
      <c r="E523" t="str">
        <f>"2019/10/30 上午 12:00:00"</f>
        <v>2019/10/30 上午 12:00:00</v>
      </c>
      <c r="F523" t="str">
        <f>"B1"</f>
        <v>B1</v>
      </c>
    </row>
    <row r="524" spans="1:6" ht="16.5">
      <c r="A524" t="str">
        <f>"AA008093859"</f>
        <v>AA008093859</v>
      </c>
      <c r="B524" t="str">
        <f>"金山中角灣遊客中心興建工程"</f>
        <v>金山中角灣遊客中心興建工程</v>
      </c>
      <c r="C524" t="str">
        <f>"108金建字第00275號"</f>
        <v>108金建字第00275號</v>
      </c>
      <c r="D524" t="str">
        <f>"108/11/06"</f>
        <v>108/11/06</v>
      </c>
      <c r="E524" t="str">
        <f>"2019/10/30 上午 12:00:00"</f>
        <v>2019/10/30 上午 12:00:00</v>
      </c>
      <c r="F524" t="s">
        <v>6</v>
      </c>
    </row>
    <row r="525" spans="1:6" ht="16.5">
      <c r="A525" t="str">
        <f>"AA008094180"</f>
        <v>AA008094180</v>
      </c>
      <c r="B525" t="str">
        <f>"趙奕珍-住宅新建工程"</f>
        <v>趙奕珍-住宅新建工程</v>
      </c>
      <c r="C525" t="str">
        <f>"(108)(麥)鄉營建字第00072號"</f>
        <v>(108)(麥)鄉營建字第00072號</v>
      </c>
      <c r="D525" t="str">
        <f>"108/11/13"</f>
        <v>108/11/13</v>
      </c>
      <c r="E525" t="str">
        <f>"2019/11/13 上午 12:00:00"</f>
        <v>2019/11/13 上午 12:00:00</v>
      </c>
      <c r="F525" t="str">
        <f>"A1"</f>
        <v>A1</v>
      </c>
    </row>
    <row r="526" spans="1:6" ht="16.5">
      <c r="A526" t="str">
        <f>"AA008095443"</f>
        <v>AA008095443</v>
      </c>
      <c r="B526" t="str">
        <f>"新店區中央新村北側社會住宅新建統包工程案"</f>
        <v>新店區中央新村北側社會住宅新建統包工程案</v>
      </c>
      <c r="C526" t="str">
        <f>"106店建字第00036號"</f>
        <v>106店建字第00036號</v>
      </c>
      <c r="D526" t="str">
        <f>"108/11/18"</f>
        <v>108/11/18</v>
      </c>
      <c r="E526" t="str">
        <f>"2019/11/4 上午 12:00:00"</f>
        <v>2019/11/4 上午 12:00:00</v>
      </c>
      <c r="F526" t="s">
        <v>10</v>
      </c>
    </row>
    <row r="527" spans="1:6" ht="16.5">
      <c r="A527" t="str">
        <f>"AA008099280"</f>
        <v>AA008099280</v>
      </c>
      <c r="B527" t="str">
        <f>"陳慶實業股份有限公司  負責人：陳春發  住宅新建工程"</f>
        <v>陳慶實業股份有限公司  負責人：陳春發  住宅新建工程</v>
      </c>
      <c r="C527" t="s">
        <v>55</v>
      </c>
      <c r="D527" t="str">
        <f>"108/11/24"</f>
        <v>108/11/24</v>
      </c>
      <c r="E527" t="str">
        <f>"2019/11/20 上午 12:00:00"</f>
        <v>2019/11/20 上午 12:00:00</v>
      </c>
      <c r="F527" t="str">
        <f>"A1"</f>
        <v>A1</v>
      </c>
    </row>
    <row r="528" spans="1:6" ht="16.5">
      <c r="A528" t="str">
        <f>"AA008099665"</f>
        <v>AA008099665</v>
      </c>
      <c r="B528" t="str">
        <f>"李明真等兩戶住宅新建工程"</f>
        <v>李明真等兩戶住宅新建工程</v>
      </c>
      <c r="C528" t="str">
        <f>"(108)南工造字第02964、02965號"</f>
        <v>(108)南工造字第02964、02965號</v>
      </c>
      <c r="D528" t="str">
        <f>"108/11/06"</f>
        <v>108/11/06</v>
      </c>
      <c r="E528" t="str">
        <f>"2019/11/1 上午 12:00:00"</f>
        <v>2019/11/1 上午 12:00:00</v>
      </c>
      <c r="F528" t="str">
        <f>"A1"</f>
        <v>A1</v>
      </c>
    </row>
    <row r="529" spans="1:6" ht="16.5">
      <c r="A529" t="str">
        <f>"AA008100975"</f>
        <v>AA008100975</v>
      </c>
      <c r="B529" t="str">
        <f>"A1x4 金禾麥實業有限公司4戶住宅新建工程"</f>
        <v>A1x4 金禾麥實業有限公司4戶住宅新建工程</v>
      </c>
      <c r="C529" t="str">
        <f>"(108)投埔鎮工(使)字第00052~00054.00058號"</f>
        <v>(108)投埔鎮工(使)字第00052~00054.00058號</v>
      </c>
      <c r="D529" t="str">
        <f>"108/11/18"</f>
        <v>108/11/18</v>
      </c>
      <c r="E529" t="str">
        <f>"2019/11/15 上午 12:00:00"</f>
        <v>2019/11/15 上午 12:00:00</v>
      </c>
      <c r="F529" t="str">
        <f>"A1"</f>
        <v>A1</v>
      </c>
    </row>
    <row r="530" spans="1:6" ht="16.5">
      <c r="A530" t="str">
        <f>"AA008104504"</f>
        <v>AA008104504</v>
      </c>
      <c r="B530" t="str">
        <f>"澄清段 住宅.集合住宅新建工程(第一次變更設計)"</f>
        <v>澄清段 住宅.集合住宅新建工程(第一次變更設計)</v>
      </c>
      <c r="C530" t="str">
        <f>"(107)高市工建築字第01186-02. 01187-02號"</f>
        <v>(107)高市工建築字第01186-02. 01187-02號</v>
      </c>
      <c r="D530" t="str">
        <f>"108/11/07"</f>
        <v>108/11/07</v>
      </c>
      <c r="E530" t="str">
        <f>"2019/11/7 上午 12:00:00"</f>
        <v>2019/11/7 上午 12:00:00</v>
      </c>
      <c r="F530" t="str">
        <f>"A1"</f>
        <v>A1</v>
      </c>
    </row>
    <row r="531" spans="1:6" ht="16.5">
      <c r="A531" t="str">
        <f>"AA008108550"</f>
        <v>AA008108550</v>
      </c>
      <c r="B531" t="str">
        <f>"晟昌工程有限公司-工廠新建工程"</f>
        <v>晟昌工程有限公司-工廠新建工程</v>
      </c>
      <c r="C531" t="str">
        <f>"(108)(麥)鄉營建字第00077號"</f>
        <v>(108)(麥)鄉營建字第00077號</v>
      </c>
      <c r="D531" t="str">
        <f>"108/11/16"</f>
        <v>108/11/16</v>
      </c>
      <c r="E531" t="str">
        <f>"2019/11/14 上午 12:00:00"</f>
        <v>2019/11/14 上午 12:00:00</v>
      </c>
      <c r="F531" t="str">
        <f>"B1"</f>
        <v>B1</v>
      </c>
    </row>
    <row r="532" spans="1:6" ht="16.5">
      <c r="A532" t="str">
        <f>"AA008108640"</f>
        <v>AA008108640</v>
      </c>
      <c r="B532" t="str">
        <f>"陳偉紅住宅新建工程"</f>
        <v>陳偉紅住宅新建工程</v>
      </c>
      <c r="C532" t="str">
        <f>"(106)栗商建公建字第00003號"</f>
        <v>(106)栗商建公建字第00003號</v>
      </c>
      <c r="D532" t="str">
        <f>"108/11/28"</f>
        <v>108/11/28</v>
      </c>
      <c r="E532" t="str">
        <f>"2019/11/27 上午 12:00:00"</f>
        <v>2019/11/27 上午 12:00:00</v>
      </c>
      <c r="F532" t="str">
        <f>"A1"</f>
        <v>A1</v>
      </c>
    </row>
    <row r="533" spans="1:6" ht="16.5">
      <c r="A533" t="str">
        <f>"TP308108730"</f>
        <v>TP308108730</v>
      </c>
      <c r="B533" t="str">
        <f>"新北市板橋區文化段1964地號旅館大樓新建工程"</f>
        <v>新北市板橋區文化段1964地號旅館大樓新建工程</v>
      </c>
      <c r="C533" t="str">
        <f>"105板建字第00087號"</f>
        <v>105板建字第00087號</v>
      </c>
      <c r="D533" t="str">
        <f>"108/11/11"</f>
        <v>108/11/11</v>
      </c>
      <c r="E533" t="str">
        <f>"2019/8/27 上午 12:00:00"</f>
        <v>2019/8/27 上午 12:00:00</v>
      </c>
      <c r="F533" t="s">
        <v>56</v>
      </c>
    </row>
    <row r="534" spans="1:6" ht="16.5">
      <c r="A534" t="str">
        <f>"AA008111014"</f>
        <v>AA008111014</v>
      </c>
      <c r="B534" t="str">
        <f>"林憲康 農舍新建工程"</f>
        <v>林憲康 農舍新建工程</v>
      </c>
      <c r="C534" t="str">
        <f>"(105)栗商建公建字第00017號"</f>
        <v>(105)栗商建公建字第00017號</v>
      </c>
      <c r="D534" t="str">
        <f>"108/11/17"</f>
        <v>108/11/17</v>
      </c>
      <c r="E534" t="str">
        <f>"2019/11/11 上午 12:00:00"</f>
        <v>2019/11/11 上午 12:00:00</v>
      </c>
      <c r="F534" t="str">
        <f>"A1"</f>
        <v>A1</v>
      </c>
    </row>
    <row r="535" spans="1:6" ht="16.5">
      <c r="A535" t="str">
        <f>"AA008111699"</f>
        <v>AA008111699</v>
      </c>
      <c r="B535" t="str">
        <f>"辰旺建設開發有限公司 住宅新建工程"</f>
        <v>辰旺建設開發有限公司 住宅新建工程</v>
      </c>
      <c r="C535" t="str">
        <f>"(107)栗商建公建字第00005號"</f>
        <v>(107)栗商建公建字第00005號</v>
      </c>
      <c r="D535" t="str">
        <f>"108/11/17"</f>
        <v>108/11/17</v>
      </c>
      <c r="E535" t="str">
        <f>"2019/11/8 上午 12:00:00"</f>
        <v>2019/11/8 上午 12:00:00</v>
      </c>
      <c r="F535" t="str">
        <f>"A1"</f>
        <v>A1</v>
      </c>
    </row>
    <row r="536" spans="1:6" ht="16.5">
      <c r="A536" t="str">
        <f>"AA008115789"</f>
        <v>AA008115789</v>
      </c>
      <c r="B536" t="str">
        <f>"莊盛光-聚吉段店鋪新建工程"</f>
        <v>莊盛光-聚吉段店鋪新建工程</v>
      </c>
      <c r="C536" t="str">
        <f>"(108)府都建字第00203號"</f>
        <v>(108)府都建字第00203號</v>
      </c>
      <c r="D536" t="str">
        <f>"108/11/23"</f>
        <v>108/11/23</v>
      </c>
      <c r="E536" t="str">
        <f>"2019/11/15 上午 12:00:00"</f>
        <v>2019/11/15 上午 12:00:00</v>
      </c>
      <c r="F536" t="s">
        <v>9</v>
      </c>
    </row>
    <row r="537" spans="1:6" ht="16.5">
      <c r="A537" t="str">
        <f>"AA008116054"</f>
        <v>AA008116054</v>
      </c>
      <c r="B537" t="str">
        <f>"蔡俊麟-住宅新建"</f>
        <v>蔡俊麟-住宅新建</v>
      </c>
      <c r="C537" t="str">
        <f>"(107)栗商建竹建字第00029號"</f>
        <v>(107)栗商建竹建字第00029號</v>
      </c>
      <c r="D537" t="str">
        <f>"108/11/25"</f>
        <v>108/11/25</v>
      </c>
      <c r="E537" t="str">
        <f>"2019/11/19 上午 12:00:00"</f>
        <v>2019/11/19 上午 12:00:00</v>
      </c>
      <c r="F537" t="s">
        <v>7</v>
      </c>
    </row>
    <row r="538" spans="1:6" ht="16.5">
      <c r="A538" t="str">
        <f>"AA008116338"</f>
        <v>AA008116338</v>
      </c>
      <c r="B538" t="str">
        <f>"林昌榮住宅新建工程"</f>
        <v>林昌榮住宅新建工程</v>
      </c>
      <c r="C538" t="str">
        <f>"(105)栗商建苗建字第00009號"</f>
        <v>(105)栗商建苗建字第00009號</v>
      </c>
      <c r="D538" t="str">
        <f>"108/11/28"</f>
        <v>108/11/28</v>
      </c>
      <c r="E538" t="str">
        <f>"2019/11/26 上午 12:00:00"</f>
        <v>2019/11/26 上午 12:00:00</v>
      </c>
      <c r="F538" t="str">
        <f aca="true" t="shared" si="11" ref="F538:F544">"A1"</f>
        <v>A1</v>
      </c>
    </row>
    <row r="539" spans="1:6" ht="16.5">
      <c r="A539" t="str">
        <f>"AA008116981"</f>
        <v>AA008116981</v>
      </c>
      <c r="B539" t="str">
        <f>"A1 陳淑貞住宅新建工程"</f>
        <v>A1 陳淑貞住宅新建工程</v>
      </c>
      <c r="C539" t="str">
        <f>"(107)投府建管(造)字第00145號"</f>
        <v>(107)投府建管(造)字第00145號</v>
      </c>
      <c r="D539" t="str">
        <f>"108/11/18"</f>
        <v>108/11/18</v>
      </c>
      <c r="E539" t="str">
        <f>"2019/11/18 上午 12:00:00"</f>
        <v>2019/11/18 上午 12:00:00</v>
      </c>
      <c r="F539" t="str">
        <f t="shared" si="11"/>
        <v>A1</v>
      </c>
    </row>
    <row r="540" spans="1:6" ht="16.5">
      <c r="A540" t="str">
        <f>"AA008118158"</f>
        <v>AA008118158</v>
      </c>
      <c r="B540" t="str">
        <f>"宜蘭縣頭城鎮下埔段7戶住宅新建工程"</f>
        <v>宜蘭縣頭城鎮下埔段7戶住宅新建工程</v>
      </c>
      <c r="C540" t="str">
        <f>"108.9.12頭鎮工字第10123-01~10123-07號"</f>
        <v>108.9.12頭鎮工字第10123-01~10123-07號</v>
      </c>
      <c r="D540" t="str">
        <f>"108/11/18"</f>
        <v>108/11/18</v>
      </c>
      <c r="E540" t="str">
        <f>"2019/11/13 上午 12:00:00"</f>
        <v>2019/11/13 上午 12:00:00</v>
      </c>
      <c r="F540" t="str">
        <f t="shared" si="11"/>
        <v>A1</v>
      </c>
    </row>
    <row r="541" spans="1:6" ht="16.5">
      <c r="A541" t="str">
        <f>"AA008119014"</f>
        <v>AA008119014</v>
      </c>
      <c r="B541" t="str">
        <f>"譚碩誼住宅新建工程"</f>
        <v>譚碩誼住宅新建工程</v>
      </c>
      <c r="C541" t="str">
        <f>"107栗商建頭建字第00073號"</f>
        <v>107栗商建頭建字第00073號</v>
      </c>
      <c r="D541" t="str">
        <f>"108/11/26"</f>
        <v>108/11/26</v>
      </c>
      <c r="E541" t="str">
        <f>"2019/11/21 上午 12:00:00"</f>
        <v>2019/11/21 上午 12:00:00</v>
      </c>
      <c r="F541" t="str">
        <f t="shared" si="11"/>
        <v>A1</v>
      </c>
    </row>
    <row r="542" spans="1:6" ht="16.5">
      <c r="A542" t="str">
        <f>"AA008119029"</f>
        <v>AA008119029</v>
      </c>
      <c r="B542" t="str">
        <f>"譚碩諄住宅新建工程"</f>
        <v>譚碩諄住宅新建工程</v>
      </c>
      <c r="C542" t="str">
        <f>"107栗商建頭建字第00074號"</f>
        <v>107栗商建頭建字第00074號</v>
      </c>
      <c r="D542" t="str">
        <f>"108/11/25"</f>
        <v>108/11/25</v>
      </c>
      <c r="E542" t="str">
        <f>"2019/11/21 上午 12:00:00"</f>
        <v>2019/11/21 上午 12:00:00</v>
      </c>
      <c r="F542" t="str">
        <f t="shared" si="11"/>
        <v>A1</v>
      </c>
    </row>
    <row r="543" spans="1:6" ht="16.5">
      <c r="A543" t="str">
        <f>"AA008119037"</f>
        <v>AA008119037</v>
      </c>
      <c r="B543" t="str">
        <f>"譚宇庭住宅新建工程"</f>
        <v>譚宇庭住宅新建工程</v>
      </c>
      <c r="C543" t="str">
        <f>"107栗商建頭建字第00071號"</f>
        <v>107栗商建頭建字第00071號</v>
      </c>
      <c r="D543" t="str">
        <f>"108/11/26"</f>
        <v>108/11/26</v>
      </c>
      <c r="E543" t="str">
        <f>"2019/11/21 上午 12:00:00"</f>
        <v>2019/11/21 上午 12:00:00</v>
      </c>
      <c r="F543" t="str">
        <f t="shared" si="11"/>
        <v>A1</v>
      </c>
    </row>
    <row r="544" spans="1:6" ht="16.5">
      <c r="A544" t="str">
        <f>"AA008119395"</f>
        <v>AA008119395</v>
      </c>
      <c r="B544" t="str">
        <f>"許國棟住宅新建工程(第一次變更設計)"</f>
        <v>許國棟住宅新建工程(第一次變更設計)</v>
      </c>
      <c r="C544" t="str">
        <f>"(106)高市工建築字第00127-02號"</f>
        <v>(106)高市工建築字第00127-02號</v>
      </c>
      <c r="D544" t="str">
        <f>"108/11/19"</f>
        <v>108/11/19</v>
      </c>
      <c r="E544" t="str">
        <f>"2019/11/18 上午 12:00:00"</f>
        <v>2019/11/18 上午 12:00:00</v>
      </c>
      <c r="F544" t="str">
        <f t="shared" si="11"/>
        <v>A1</v>
      </c>
    </row>
    <row r="545" spans="1:6" ht="16.5">
      <c r="A545" t="str">
        <f>"TP508119630"</f>
        <v>TP508119630</v>
      </c>
      <c r="B545" t="str">
        <f>"大新田開發八里區中庄段161地號新建工程"</f>
        <v>大新田開發八里區中庄段161地號新建工程</v>
      </c>
      <c r="C545" t="str">
        <f>"104八建字第00386號"</f>
        <v>104八建字第00386號</v>
      </c>
      <c r="D545" t="str">
        <f>"108/11/06"</f>
        <v>108/11/06</v>
      </c>
      <c r="E545" t="str">
        <f>"2019/9/23 上午 12:00:00"</f>
        <v>2019/9/23 上午 12:00:00</v>
      </c>
      <c r="F545" t="str">
        <f>"C1"</f>
        <v>C1</v>
      </c>
    </row>
    <row r="546" spans="1:6" ht="16.5">
      <c r="A546" t="str">
        <f>"AA008119953"</f>
        <v>AA008119953</v>
      </c>
      <c r="B546" t="str">
        <f>"A1+B1金合鑫昶勝建設苑裡鎮新興段店鋪.住宅新建工程"</f>
        <v>A1+B1金合鑫昶勝建設苑裡鎮新興段店鋪.住宅新建工程</v>
      </c>
      <c r="C546" t="str">
        <f>"(106)栗商建苗建字第00122.00123號"</f>
        <v>(106)栗商建苗建字第00122.00123號</v>
      </c>
      <c r="D546" t="str">
        <f>"108/11/17"</f>
        <v>108/11/17</v>
      </c>
      <c r="E546" t="str">
        <f>"2019/11/11 上午 12:00:00"</f>
        <v>2019/11/11 上午 12:00:00</v>
      </c>
      <c r="F546" t="s">
        <v>31</v>
      </c>
    </row>
    <row r="547" spans="1:6" ht="16.5">
      <c r="A547" t="str">
        <f>"AA008120859"</f>
        <v>AA008120859</v>
      </c>
      <c r="B547" t="str">
        <f>"名發建設 - 住宅新建工程"</f>
        <v>名發建設 - 住宅新建工程</v>
      </c>
      <c r="C547" t="str">
        <f>"(106)高市工建築字第02761 ~02772號"</f>
        <v>(106)高市工建築字第02761 ~02772號</v>
      </c>
      <c r="D547" t="str">
        <f>"108/11/14"</f>
        <v>108/11/14</v>
      </c>
      <c r="E547" t="str">
        <f>"2019/11/11 上午 12:00:00"</f>
        <v>2019/11/11 上午 12:00:00</v>
      </c>
      <c r="F547" t="s">
        <v>7</v>
      </c>
    </row>
    <row r="548" spans="1:6" ht="16.5">
      <c r="A548" t="str">
        <f>"TP308121148"</f>
        <v>TP308121148</v>
      </c>
      <c r="B548" t="str">
        <f>"通霄電廠行政大樓新建工程"</f>
        <v>通霄電廠行政大樓新建工程</v>
      </c>
      <c r="C548" t="str">
        <f>"(105)栗商建通建字第00026號"</f>
        <v>(105)栗商建通建字第00026號</v>
      </c>
      <c r="D548" t="str">
        <f>"108/11/05"</f>
        <v>108/11/05</v>
      </c>
      <c r="E548" t="str">
        <f>"2019/10/3 上午 12:00:00"</f>
        <v>2019/10/3 上午 12:00:00</v>
      </c>
      <c r="F548" t="str">
        <f>"C1"</f>
        <v>C1</v>
      </c>
    </row>
    <row r="549" spans="1:6" ht="16.5">
      <c r="A549" t="str">
        <f>"AA008121504"</f>
        <v>AA008121504</v>
      </c>
      <c r="B549" t="str">
        <f>"周麗娟 住宅新建工程"</f>
        <v>周麗娟 住宅新建工程</v>
      </c>
      <c r="C549" t="str">
        <f>"(107)栗商建後建字第00053號"</f>
        <v>(107)栗商建後建字第00053號</v>
      </c>
      <c r="D549" t="str">
        <f>"108/11/18"</f>
        <v>108/11/18</v>
      </c>
      <c r="E549" t="str">
        <f>"2019/11/12 上午 12:00:00"</f>
        <v>2019/11/12 上午 12:00:00</v>
      </c>
      <c r="F549" t="s">
        <v>7</v>
      </c>
    </row>
    <row r="550" spans="1:6" ht="16.5">
      <c r="A550" t="str">
        <f>"AA008123630"</f>
        <v>AA008123630</v>
      </c>
      <c r="B550" t="str">
        <f>"邱桂英住宅新建工程"</f>
        <v>邱桂英住宅新建工程</v>
      </c>
      <c r="C550" t="str">
        <f>"(106)栗商建苗建字第00123號"</f>
        <v>(106)栗商建苗建字第00123號</v>
      </c>
      <c r="D550" t="str">
        <f>"108/11/25"</f>
        <v>108/11/25</v>
      </c>
      <c r="E550" t="str">
        <f>"2019/11/21 上午 12:00:00"</f>
        <v>2019/11/21 上午 12:00:00</v>
      </c>
      <c r="F550" t="str">
        <f>"A1"</f>
        <v>A1</v>
      </c>
    </row>
    <row r="551" spans="1:6" ht="16.5">
      <c r="A551" t="str">
        <f>"TP508123820"</f>
        <v>TP508123820</v>
      </c>
      <c r="B551" t="str">
        <f>"臺億建築經理股份有限公司板橋江子翠217-25地號集合住宅新建工程"</f>
        <v>臺億建築經理股份有限公司板橋江子翠217-25地號集合住宅新建工程</v>
      </c>
      <c r="C551" t="str">
        <f>"103板建字第00496號"</f>
        <v>103板建字第00496號</v>
      </c>
      <c r="D551" t="str">
        <f>"108/11/13"</f>
        <v>108/11/13</v>
      </c>
      <c r="E551" t="str">
        <f>"2019/11/4 上午 12:00:00"</f>
        <v>2019/11/4 上午 12:00:00</v>
      </c>
      <c r="F551" t="str">
        <f>"D3"</f>
        <v>D3</v>
      </c>
    </row>
    <row r="552" spans="1:6" ht="16.5">
      <c r="A552" t="str">
        <f>"AA008124234"</f>
        <v>AA008124234</v>
      </c>
      <c r="B552" t="str">
        <f>"簡瑛欣住宅新建工程"</f>
        <v>簡瑛欣住宅新建工程</v>
      </c>
      <c r="C552" t="str">
        <f>"103.5.30三鄉建字第06901號"</f>
        <v>103.5.30三鄉建字第06901號</v>
      </c>
      <c r="D552" t="str">
        <f>"108/11/05"</f>
        <v>108/11/05</v>
      </c>
      <c r="E552" t="str">
        <f>"2019/11/4 上午 12:00:00"</f>
        <v>2019/11/4 上午 12:00:00</v>
      </c>
      <c r="F552" t="str">
        <f>"A1"</f>
        <v>A1</v>
      </c>
    </row>
    <row r="553" spans="1:6" ht="16.5">
      <c r="A553" t="str">
        <f>"TP308124328"</f>
        <v>TP308124328</v>
      </c>
      <c r="B553" t="str">
        <f>"仁暉建設萬華區雙園段集合住宅新建工程"</f>
        <v>仁暉建設萬華區雙園段集合住宅新建工程</v>
      </c>
      <c r="C553" t="str">
        <f>"106建字第0193號"</f>
        <v>106建字第0193號</v>
      </c>
      <c r="D553" t="str">
        <f>"108/11/21"</f>
        <v>108/11/21</v>
      </c>
      <c r="E553" t="str">
        <f>"2019/10/5 上午 12:00:00"</f>
        <v>2019/10/5 上午 12:00:00</v>
      </c>
      <c r="F553" t="s">
        <v>6</v>
      </c>
    </row>
    <row r="554" spans="1:6" ht="16.5">
      <c r="A554" t="str">
        <f>"TN108124597"</f>
        <v>TN108124597</v>
      </c>
      <c r="B554" t="str">
        <f>"元聚開發1戶住宅新建工程"</f>
        <v>元聚開發1戶住宅新建工程</v>
      </c>
      <c r="C554" t="str">
        <f>"(106)南工造字第02006號"</f>
        <v>(106)南工造字第02006號</v>
      </c>
      <c r="D554" t="str">
        <f>"108/11/12"</f>
        <v>108/11/12</v>
      </c>
      <c r="E554" t="str">
        <f>"2019/10/4 上午 12:00:00"</f>
        <v>2019/10/4 上午 12:00:00</v>
      </c>
      <c r="F554" t="str">
        <f>"A1"</f>
        <v>A1</v>
      </c>
    </row>
    <row r="555" spans="1:6" ht="16.5">
      <c r="A555" t="str">
        <f>"TY208124616"</f>
        <v>TY208124616</v>
      </c>
      <c r="B555" t="str">
        <f>"張靜媚桃園市桃園區富國段住宅新建工程"</f>
        <v>張靜媚桃園市桃園區富國段住宅新建工程</v>
      </c>
      <c r="C555" t="str">
        <f>"(103)桃縣工建執照字第會桃01236號"</f>
        <v>(103)桃縣工建執照字第會桃01236號</v>
      </c>
      <c r="D555" t="str">
        <f>"108/11/07"</f>
        <v>108/11/07</v>
      </c>
      <c r="E555" t="str">
        <f>"2019/10/3 上午 12:00:00"</f>
        <v>2019/10/3 上午 12:00:00</v>
      </c>
      <c r="F555" t="str">
        <f>"A1"</f>
        <v>A1</v>
      </c>
    </row>
    <row r="556" spans="1:6" ht="16.5">
      <c r="A556" t="str">
        <f>"AA008124832"</f>
        <v>AA008124832</v>
      </c>
      <c r="B556" t="str">
        <f>"廖珮君冬山鄉鹿埔新段住宅新建工程"</f>
        <v>廖珮君冬山鄉鹿埔新段住宅新建工程</v>
      </c>
      <c r="C556" t="str">
        <f>"107.4.23冬鄉建字第6875號"</f>
        <v>107.4.23冬鄉建字第6875號</v>
      </c>
      <c r="D556" t="str">
        <f>"108/11/18"</f>
        <v>108/11/18</v>
      </c>
      <c r="E556" t="str">
        <f>"2019/11/13 上午 12:00:00"</f>
        <v>2019/11/13 上午 12:00:00</v>
      </c>
      <c r="F556" t="str">
        <f>"A1"</f>
        <v>A1</v>
      </c>
    </row>
    <row r="557" spans="1:6" ht="16.5">
      <c r="A557" t="str">
        <f>"TP308125180"</f>
        <v>TP308125180</v>
      </c>
      <c r="B557" t="str">
        <f>"合嘉建設新北市汐止區金龍段231地號集合住宅新建工程(C區)"</f>
        <v>合嘉建設新北市汐止區金龍段231地號集合住宅新建工程(C區)</v>
      </c>
      <c r="C557" t="str">
        <f>"103汐建字第00750號"</f>
        <v>103汐建字第00750號</v>
      </c>
      <c r="D557" t="str">
        <f>"108/11/04"</f>
        <v>108/11/04</v>
      </c>
      <c r="E557" t="str">
        <f>"2019/10/7 上午 12:00:00"</f>
        <v>2019/10/7 上午 12:00:00</v>
      </c>
      <c r="F557" t="str">
        <f>"D1"</f>
        <v>D1</v>
      </c>
    </row>
    <row r="558" spans="1:6" ht="16.5">
      <c r="A558" t="str">
        <f>"AA008125428"</f>
        <v>AA008125428</v>
      </c>
      <c r="B558" t="str">
        <f>"達博迎國際開發有限公司 負責人：許世雄麻豆區港子尾段24戶住宅新建工程"</f>
        <v>達博迎國際開發有限公司 負責人：許世雄麻豆區港子尾段24戶住宅新建工程</v>
      </c>
      <c r="C558" t="str">
        <f>"(108)南工造字第03662~03685號"</f>
        <v>(108)南工造字第03662~03685號</v>
      </c>
      <c r="D558" t="str">
        <f>"108/11/11"</f>
        <v>108/11/11</v>
      </c>
      <c r="E558" t="str">
        <f>"2019/11/11 上午 12:00:00"</f>
        <v>2019/11/11 上午 12:00:00</v>
      </c>
      <c r="F558" t="str">
        <f>"A1"</f>
        <v>A1</v>
      </c>
    </row>
    <row r="559" spans="1:6" ht="16.5">
      <c r="A559" t="str">
        <f>"AA008125863"</f>
        <v>AA008125863</v>
      </c>
      <c r="B559" t="str">
        <f>"僑馥建築白玉段住宅新建工程"</f>
        <v>僑馥建築白玉段住宅新建工程</v>
      </c>
      <c r="C559" t="str">
        <f>"108年2月13日 礁鄉工字第1478號"</f>
        <v>108年2月13日 礁鄉工字第1478號</v>
      </c>
      <c r="D559" t="str">
        <f>"108/11/06"</f>
        <v>108/11/06</v>
      </c>
      <c r="E559" t="str">
        <f>"2019/11/6 上午 12:00:00"</f>
        <v>2019/11/6 上午 12:00:00</v>
      </c>
      <c r="F559" t="str">
        <f>"A1"</f>
        <v>A1</v>
      </c>
    </row>
    <row r="560" spans="1:6" ht="16.5">
      <c r="A560" t="str">
        <f>"TP308126996"</f>
        <v>TP308126996</v>
      </c>
      <c r="B560" t="str">
        <f>"白馬窯業 桃園區中路三段集合住宅新建工程"</f>
        <v>白馬窯業 桃園區中路三段集合住宅新建工程</v>
      </c>
      <c r="C560" t="str">
        <f>"(106)桃市都建執照字第會桃00450號"</f>
        <v>(106)桃市都建執照字第會桃00450號</v>
      </c>
      <c r="D560" t="str">
        <f>"108/11/05"</f>
        <v>108/11/05</v>
      </c>
      <c r="E560" t="str">
        <f>"2019/10/9 上午 12:00:00"</f>
        <v>2019/10/9 上午 12:00:00</v>
      </c>
      <c r="F560" t="s">
        <v>7</v>
      </c>
    </row>
    <row r="561" spans="1:6" ht="16.5">
      <c r="A561" t="str">
        <f>"AA008127348"</f>
        <v>AA008127348</v>
      </c>
      <c r="B561" t="str">
        <f>"經濟部能源局  綠能科技示範場域新建工程"</f>
        <v>經濟部能源局  綠能科技示範場域新建工程</v>
      </c>
      <c r="C561" t="str">
        <f>"(107)南工造字第01093-01號"</f>
        <v>(107)南工造字第01093-01號</v>
      </c>
      <c r="D561" t="str">
        <f>"108/11/12"</f>
        <v>108/11/12</v>
      </c>
      <c r="E561" t="str">
        <f>"2019/11/12 上午 12:00:00"</f>
        <v>2019/11/12 上午 12:00:00</v>
      </c>
      <c r="F561" t="s">
        <v>10</v>
      </c>
    </row>
    <row r="562" spans="1:6" ht="16.5">
      <c r="A562" t="str">
        <f>"AA008127975"</f>
        <v>AA008127975</v>
      </c>
      <c r="B562" t="str">
        <f>"霆鴻建設有限公司 住宅新建工程"</f>
        <v>霆鴻建設有限公司 住宅新建工程</v>
      </c>
      <c r="C562" t="str">
        <f>"(107)栗商建苗建字第00135號"</f>
        <v>(107)栗商建苗建字第00135號</v>
      </c>
      <c r="D562" t="str">
        <f>"108/11/28"</f>
        <v>108/11/28</v>
      </c>
      <c r="E562" t="str">
        <f>"2019/11/20 上午 12:00:00"</f>
        <v>2019/11/20 上午 12:00:00</v>
      </c>
      <c r="F562" t="s">
        <v>7</v>
      </c>
    </row>
    <row r="563" spans="1:6" ht="16.5">
      <c r="A563" t="str">
        <f>"AA008128041"</f>
        <v>AA008128041</v>
      </c>
      <c r="B563" t="str">
        <f>"展鑫建設有限公司 大倫段5戶住宅新建工程"</f>
        <v>展鑫建設有限公司 大倫段5戶住宅新建工程</v>
      </c>
      <c r="C563" t="str">
        <f>"(107)栗商建苗建字第00084~00088號"</f>
        <v>(107)栗商建苗建字第00084~00088號</v>
      </c>
      <c r="D563" t="str">
        <f>"108/11/28"</f>
        <v>108/11/28</v>
      </c>
      <c r="E563" t="str">
        <f>"2019/11/20 上午 12:00:00"</f>
        <v>2019/11/20 上午 12:00:00</v>
      </c>
      <c r="F563" t="s">
        <v>7</v>
      </c>
    </row>
    <row r="564" spans="1:6" ht="16.5">
      <c r="A564" t="str">
        <f>"TP308129346"</f>
        <v>TP308129346</v>
      </c>
      <c r="B564" t="str">
        <f>"北部流行音樂中心興建工程-南基地"</f>
        <v>北部流行音樂中心興建工程-南基地</v>
      </c>
      <c r="C564" t="str">
        <f>"103建字第0192號"</f>
        <v>103建字第0192號</v>
      </c>
      <c r="D564" t="str">
        <f>"108/11/04"</f>
        <v>108/11/04</v>
      </c>
      <c r="E564" t="str">
        <f>"2019/10/21 上午 12:00:00"</f>
        <v>2019/10/21 上午 12:00:00</v>
      </c>
      <c r="F564" t="str">
        <f>"E1"</f>
        <v>E1</v>
      </c>
    </row>
    <row r="565" spans="1:6" ht="16.5">
      <c r="A565" t="str">
        <f>"TP208129508"</f>
        <v>TP208129508</v>
      </c>
      <c r="B565" t="str">
        <f>"福邦建設有限公司 負責人:黃偉震"</f>
        <v>福邦建設有限公司 負責人:黃偉震</v>
      </c>
      <c r="C565" t="str">
        <f>"(105)(5)(18)建管建字第00236號"</f>
        <v>(105)(5)(18)建管建字第00236號</v>
      </c>
      <c r="D565" t="str">
        <f>"108/11/04"</f>
        <v>108/11/04</v>
      </c>
      <c r="E565" t="str">
        <f>"2019/10/17 上午 12:00:00"</f>
        <v>2019/10/17 上午 12:00:00</v>
      </c>
      <c r="F565" t="s">
        <v>19</v>
      </c>
    </row>
    <row r="566" spans="1:6" ht="16.5">
      <c r="A566" t="str">
        <f>"TY108130587"</f>
        <v>TY108130587</v>
      </c>
      <c r="B566" t="str">
        <f>"第一銀行中壢分行 銀行、店舖及辦公室新建工程"</f>
        <v>第一銀行中壢分行 銀行、店舖及辦公室新建工程</v>
      </c>
      <c r="C566" t="str">
        <f>"(104)桃市都建執照字第會壢01534號"</f>
        <v>(104)桃市都建執照字第會壢01534號</v>
      </c>
      <c r="D566" t="str">
        <f>"108/11/07"</f>
        <v>108/11/07</v>
      </c>
      <c r="E566" t="str">
        <f>"2019/10/21 上午 12:00:00"</f>
        <v>2019/10/21 上午 12:00:00</v>
      </c>
      <c r="F566" t="str">
        <f>"C1"</f>
        <v>C1</v>
      </c>
    </row>
    <row r="567" spans="1:6" ht="16.5">
      <c r="A567" t="str">
        <f>"TP308130889"</f>
        <v>TP308130889</v>
      </c>
      <c r="B567" t="str">
        <f>"中山區雙城街集合住宅新建工程"</f>
        <v>中山區雙城街集合住宅新建工程</v>
      </c>
      <c r="C567" t="str">
        <f>"104建字第0229號"</f>
        <v>104建字第0229號</v>
      </c>
      <c r="D567" t="str">
        <f>"108/11/08"</f>
        <v>108/11/08</v>
      </c>
      <c r="E567" t="str">
        <f>"2019/10/21 上午 12:00:00"</f>
        <v>2019/10/21 上午 12:00:00</v>
      </c>
      <c r="F567" t="s">
        <v>19</v>
      </c>
    </row>
    <row r="568" spans="1:6" ht="16.5">
      <c r="A568" t="str">
        <f>"AA008131258"</f>
        <v>AA008131258</v>
      </c>
      <c r="B568" t="str">
        <f>"C1-虹光化學工業股份有限公司廠房新建工程"</f>
        <v>C1-虹光化學工業股份有限公司廠房新建工程</v>
      </c>
      <c r="C568" t="str">
        <f>"(106)(雲)營建字第1203號"</f>
        <v>(106)(雲)營建字第1203號</v>
      </c>
      <c r="D568" t="str">
        <f>"108/11/14"</f>
        <v>108/11/14</v>
      </c>
      <c r="E568" t="str">
        <f>"2019/11/11 上午 12:00:00"</f>
        <v>2019/11/11 上午 12:00:00</v>
      </c>
      <c r="F568" t="str">
        <f>"C1"</f>
        <v>C1</v>
      </c>
    </row>
    <row r="569" spans="1:6" ht="16.5">
      <c r="A569" t="str">
        <f>"AA008131263"</f>
        <v>AA008131263</v>
      </c>
      <c r="B569" t="str">
        <f>"C1 簡思哲農作產銷設施新建工程"</f>
        <v>C1 簡思哲農作產銷設施新建工程</v>
      </c>
      <c r="C569" t="str">
        <f>"107中都建字第01303號"</f>
        <v>107中都建字第01303號</v>
      </c>
      <c r="D569" t="str">
        <f>"108/11/02"</f>
        <v>108/11/02</v>
      </c>
      <c r="E569" t="str">
        <f>"2019/11/1 上午 12:00:00"</f>
        <v>2019/11/1 上午 12:00:00</v>
      </c>
      <c r="F569" t="str">
        <f>"C1"</f>
        <v>C1</v>
      </c>
    </row>
    <row r="570" spans="1:6" ht="16.5">
      <c r="A570" t="str">
        <f>"TP208131355"</f>
        <v>TP208131355</v>
      </c>
      <c r="B570" t="str">
        <f>"黃志同國華段住宅新建工程"</f>
        <v>黃志同國華段住宅新建工程</v>
      </c>
      <c r="C570" t="str">
        <f>"(105)(9)(8)建管建字第00462號"</f>
        <v>(105)(9)(8)建管建字第00462號</v>
      </c>
      <c r="D570" t="str">
        <f>"108/11/19"</f>
        <v>108/11/19</v>
      </c>
      <c r="E570" t="str">
        <f>"2019/10/23 上午 12:00:00"</f>
        <v>2019/10/23 上午 12:00:00</v>
      </c>
      <c r="F570" t="s">
        <v>9</v>
      </c>
    </row>
    <row r="571" spans="1:6" ht="16.5">
      <c r="A571" t="str">
        <f>"TP508131450"</f>
        <v>TP508131450</v>
      </c>
      <c r="B571" t="str">
        <f>"萬華直興段一小段集合住宅計畫"</f>
        <v>萬華直興段一小段集合住宅計畫</v>
      </c>
      <c r="C571" t="str">
        <f>"106建字第0062號"</f>
        <v>106建字第0062號</v>
      </c>
      <c r="D571" t="str">
        <f>"108/11/06"</f>
        <v>108/11/06</v>
      </c>
      <c r="E571" t="str">
        <f>"2019/10/22 上午 12:00:00"</f>
        <v>2019/10/22 上午 12:00:00</v>
      </c>
      <c r="F571" t="s">
        <v>6</v>
      </c>
    </row>
    <row r="572" spans="1:6" ht="16.5">
      <c r="A572" t="str">
        <f>"KH108132166"</f>
        <v>KH108132166</v>
      </c>
      <c r="B572" t="str">
        <f>"伍素鳳住宅新建工程"</f>
        <v>伍素鳳住宅新建工程</v>
      </c>
      <c r="C572" t="str">
        <f>"(106)高市工建築字第00968號"</f>
        <v>(106)高市工建築字第00968號</v>
      </c>
      <c r="D572" t="str">
        <f>"108/11/07"</f>
        <v>108/11/07</v>
      </c>
      <c r="E572" t="str">
        <f>"2019/10/23 上午 12:00:00"</f>
        <v>2019/10/23 上午 12:00:00</v>
      </c>
      <c r="F572" t="str">
        <f>"A1"</f>
        <v>A1</v>
      </c>
    </row>
    <row r="573" spans="1:6" ht="16.5">
      <c r="A573" t="str">
        <f>"TP308132221"</f>
        <v>TP308132221</v>
      </c>
      <c r="B573" t="str">
        <f>"景美段集合住宅新建工程案"</f>
        <v>景美段集合住宅新建工程案</v>
      </c>
      <c r="C573" t="str">
        <f>"104建字第8899號"</f>
        <v>104建字第8899號</v>
      </c>
      <c r="D573" t="str">
        <f>"108/11/22"</f>
        <v>108/11/22</v>
      </c>
      <c r="E573" t="str">
        <f>"2019/10/29 上午 12:00:00"</f>
        <v>2019/10/29 上午 12:00:00</v>
      </c>
      <c r="F573" t="s">
        <v>57</v>
      </c>
    </row>
    <row r="574" spans="1:6" ht="16.5">
      <c r="A574" t="str">
        <f>"TC208132497"</f>
        <v>TC208132497</v>
      </c>
      <c r="B574" t="str">
        <f>"C1 金帝堡建設有限公司集合住宅新建工程"</f>
        <v>C1 金帝堡建設有限公司集合住宅新建工程</v>
      </c>
      <c r="C574" t="str">
        <f>"104中都建字第02884號"</f>
        <v>104中都建字第02884號</v>
      </c>
      <c r="D574" t="str">
        <f>"108/11/02"</f>
        <v>108/11/02</v>
      </c>
      <c r="E574" t="str">
        <f>"2019/10/31 上午 12:00:00"</f>
        <v>2019/10/31 上午 12:00:00</v>
      </c>
      <c r="F574" t="str">
        <f>"C1"</f>
        <v>C1</v>
      </c>
    </row>
    <row r="575" spans="1:6" ht="16.5">
      <c r="A575" t="str">
        <f>"TY108132540"</f>
        <v>TY108132540</v>
      </c>
      <c r="B575" t="str">
        <f>"鍾陳湧 住宅新建工程"</f>
        <v>鍾陳湧 住宅新建工程</v>
      </c>
      <c r="C575" t="str">
        <f>"(105)桃市都建執照字第會平01280號"</f>
        <v>(105)桃市都建執照字第會平01280號</v>
      </c>
      <c r="D575" t="str">
        <f>"108/11/04"</f>
        <v>108/11/04</v>
      </c>
      <c r="E575" t="str">
        <f>"2019/10/24 上午 12:00:00"</f>
        <v>2019/10/24 上午 12:00:00</v>
      </c>
      <c r="F575" t="str">
        <f>"A1"</f>
        <v>A1</v>
      </c>
    </row>
    <row r="576" spans="1:6" ht="16.5">
      <c r="A576" t="str">
        <f>"AA008133029"</f>
        <v>AA008133029</v>
      </c>
      <c r="B576" t="str">
        <f>"詹勳圜 住宅新建工程"</f>
        <v>詹勳圜 住宅新建工程</v>
      </c>
      <c r="C576" t="str">
        <f>"(106)栗商建通建字第00028號"</f>
        <v>(106)栗商建通建字第00028號</v>
      </c>
      <c r="D576" t="str">
        <f>"108/11/28"</f>
        <v>108/11/28</v>
      </c>
      <c r="E576" t="str">
        <f>"2019/11/19 上午 12:00:00"</f>
        <v>2019/11/19 上午 12:00:00</v>
      </c>
      <c r="F576" t="str">
        <f>"A1"</f>
        <v>A1</v>
      </c>
    </row>
    <row r="577" spans="1:6" ht="16.5">
      <c r="A577" t="str">
        <f>"TP308133256"</f>
        <v>TP308133256</v>
      </c>
      <c r="B577" t="str">
        <f>"德鄰建設新北市板橋區江子翠段溪頭小段集合住宅新建工程"</f>
        <v>德鄰建設新北市板橋區江子翠段溪頭小段集合住宅新建工程</v>
      </c>
      <c r="C577" t="str">
        <f>"105板建字第00377號"</f>
        <v>105板建字第00377號</v>
      </c>
      <c r="D577" t="str">
        <f>"108/11/04"</f>
        <v>108/11/04</v>
      </c>
      <c r="E577" t="str">
        <f>"2019/10/28 上午 12:00:00"</f>
        <v>2019/10/28 上午 12:00:00</v>
      </c>
      <c r="F577" t="s">
        <v>58</v>
      </c>
    </row>
    <row r="578" spans="1:6" ht="16.5">
      <c r="A578" t="str">
        <f>"HC108133497"</f>
        <v>HC108133497</v>
      </c>
      <c r="B578" t="str">
        <f>"鼎極建設有限公司住宅新建工程"</f>
        <v>鼎極建設有限公司住宅新建工程</v>
      </c>
      <c r="C578" t="str">
        <f>"(107)府建字 第00093號"</f>
        <v>(107)府建字 第00093號</v>
      </c>
      <c r="D578" t="str">
        <f>"108/11/05"</f>
        <v>108/11/05</v>
      </c>
      <c r="E578" t="str">
        <f>"2019/10/29 上午 12:00:00"</f>
        <v>2019/10/29 上午 12:00:00</v>
      </c>
      <c r="F578" t="s">
        <v>9</v>
      </c>
    </row>
    <row r="579" spans="1:6" ht="16.5">
      <c r="A579" t="str">
        <f>"TP208133834"</f>
        <v>TP208133834</v>
      </c>
      <c r="B579" t="str">
        <f>"五福化學製藥股份有限公司壹層廠房新建工程"</f>
        <v>五福化學製藥股份有限公司壹層廠房新建工程</v>
      </c>
      <c r="C579" t="str">
        <f>"(103)(1)(27)建管建字第00114號"</f>
        <v>(103)(1)(27)建管建字第00114號</v>
      </c>
      <c r="D579" t="str">
        <f>"108/11/07"</f>
        <v>108/11/07</v>
      </c>
      <c r="E579" t="str">
        <f>"2019/10/29 上午 12:00:00"</f>
        <v>2019/10/29 上午 12:00:00</v>
      </c>
      <c r="F579" t="str">
        <f>"C1"</f>
        <v>C1</v>
      </c>
    </row>
    <row r="580" spans="1:6" ht="16.5">
      <c r="A580" t="str">
        <f>"KH108133867"</f>
        <v>KH108133867</v>
      </c>
      <c r="B580" t="str">
        <f>"吳筱筠住宅新建案"</f>
        <v>吳筱筠住宅新建案</v>
      </c>
      <c r="C580" t="str">
        <f>"(106)府建造字第06201號"</f>
        <v>(106)府建造字第06201號</v>
      </c>
      <c r="D580" t="str">
        <f>"108/11/08"</f>
        <v>108/11/08</v>
      </c>
      <c r="E580" t="str">
        <f>"2019/10/29 上午 12:00:00"</f>
        <v>2019/10/29 上午 12:00:00</v>
      </c>
      <c r="F580" t="str">
        <f>"A1"</f>
        <v>A1</v>
      </c>
    </row>
    <row r="581" spans="1:6" ht="16.5">
      <c r="A581" t="str">
        <f>"KH108133889"</f>
        <v>KH108133889</v>
      </c>
      <c r="B581" t="str">
        <f>"呂運展新建住宅工程"</f>
        <v>呂運展新建住宅工程</v>
      </c>
      <c r="C581" t="str">
        <f>"(106)府建造字第06252號"</f>
        <v>(106)府建造字第06252號</v>
      </c>
      <c r="D581" t="str">
        <f>"108/11/08"</f>
        <v>108/11/08</v>
      </c>
      <c r="E581" t="str">
        <f>"2019/10/29 上午 12:00:00"</f>
        <v>2019/10/29 上午 12:00:00</v>
      </c>
      <c r="F581" t="str">
        <f>"A1"</f>
        <v>A1</v>
      </c>
    </row>
    <row r="582" spans="1:6" ht="16.5">
      <c r="A582" t="str">
        <f>"KH108133892"</f>
        <v>KH108133892</v>
      </c>
      <c r="B582" t="str">
        <f>"陳坑段814、817地號住宅新建工程"</f>
        <v>陳坑段814、817地號住宅新建工程</v>
      </c>
      <c r="C582" t="str">
        <f>"(105)府建造字第06012號"</f>
        <v>(105)府建造字第06012號</v>
      </c>
      <c r="D582" t="str">
        <f>"108/11/08"</f>
        <v>108/11/08</v>
      </c>
      <c r="E582" t="str">
        <f>"2019/10/28 上午 12:00:00"</f>
        <v>2019/10/28 上午 12:00:00</v>
      </c>
      <c r="F582" t="str">
        <f>"A1"</f>
        <v>A1</v>
      </c>
    </row>
    <row r="583" spans="1:6" ht="16.5">
      <c r="A583" t="str">
        <f>"ML108133939"</f>
        <v>ML108133939</v>
      </c>
      <c r="B583" t="str">
        <f>"張朝炫新建住宅工程"</f>
        <v>張朝炫新建住宅工程</v>
      </c>
      <c r="C583" t="str">
        <f>"(105)府工建字第00247號"</f>
        <v>(105)府工建字第00247號</v>
      </c>
      <c r="D583" t="str">
        <f>"108/11/04"</f>
        <v>108/11/04</v>
      </c>
      <c r="E583" t="str">
        <f>"2019/11/4 上午 12:00:00"</f>
        <v>2019/11/4 上午 12:00:00</v>
      </c>
      <c r="F583" t="str">
        <f>"A1"</f>
        <v>A1</v>
      </c>
    </row>
    <row r="584" spans="1:6" ht="16.5">
      <c r="A584" t="str">
        <f>"TC108134370"</f>
        <v>TC108134370</v>
      </c>
      <c r="B584" t="str">
        <f>"D1豐邑建設(股)公司集合住宅新建工程"</f>
        <v>D1豐邑建設(股)公司集合住宅新建工程</v>
      </c>
      <c r="C584" t="str">
        <f>"(106)府都建字第00136號"</f>
        <v>(106)府都建字第00136號</v>
      </c>
      <c r="D584" t="str">
        <f>"108/11/04"</f>
        <v>108/11/04</v>
      </c>
      <c r="E584" t="str">
        <f>"2019/10/30 上午 12:00:00"</f>
        <v>2019/10/30 上午 12:00:00</v>
      </c>
      <c r="F584" t="s">
        <v>19</v>
      </c>
    </row>
    <row r="585" spans="1:6" ht="16.5">
      <c r="A585" t="str">
        <f>"ML108134401"</f>
        <v>ML108134401</v>
      </c>
      <c r="B585" t="str">
        <f>"羅經文 住宅新建工程"</f>
        <v>羅經文 住宅新建工程</v>
      </c>
      <c r="C585" t="str">
        <f>"(106)栗商建頭建字第00053號"</f>
        <v>(106)栗商建頭建字第00053號</v>
      </c>
      <c r="D585" t="str">
        <f>"108/11/03"</f>
        <v>108/11/03</v>
      </c>
      <c r="E585" t="str">
        <f>"2019/10/29 上午 12:00:00"</f>
        <v>2019/10/29 上午 12:00:00</v>
      </c>
      <c r="F585" t="str">
        <f>"B1"</f>
        <v>B1</v>
      </c>
    </row>
    <row r="586" spans="1:6" ht="16.5">
      <c r="A586" t="str">
        <f>"HC108134474"</f>
        <v>HC108134474</v>
      </c>
      <c r="B586" t="str">
        <f>"璞玉建設股份有限公司 住宅新建工程"</f>
        <v>璞玉建設股份有限公司 住宅新建工程</v>
      </c>
      <c r="C586" t="str">
        <f>"(107)府建字第00282號"</f>
        <v>(107)府建字第00282號</v>
      </c>
      <c r="D586" t="str">
        <f>"108/11/04"</f>
        <v>108/11/04</v>
      </c>
      <c r="E586" t="str">
        <f>"2019/11/1 上午 12:00:00"</f>
        <v>2019/11/1 上午 12:00:00</v>
      </c>
      <c r="F586" t="s">
        <v>9</v>
      </c>
    </row>
    <row r="587" spans="1:6" ht="16.5">
      <c r="A587" t="str">
        <f>"HC108134497"</f>
        <v>HC108134497</v>
      </c>
      <c r="B587" t="str">
        <f>"璞玉建設股份有限公司 住宅新建工程"</f>
        <v>璞玉建設股份有限公司 住宅新建工程</v>
      </c>
      <c r="C587" t="str">
        <f>"(107)府建字第00285號"</f>
        <v>(107)府建字第00285號</v>
      </c>
      <c r="D587" t="str">
        <f>"108/11/04"</f>
        <v>108/11/04</v>
      </c>
      <c r="E587" t="str">
        <f>"2019/11/1 上午 12:00:00"</f>
        <v>2019/11/1 上午 12:00:00</v>
      </c>
      <c r="F587" t="s">
        <v>9</v>
      </c>
    </row>
    <row r="588" spans="1:6" ht="16.5">
      <c r="A588" t="str">
        <f>"HC108134526"</f>
        <v>HC108134526</v>
      </c>
      <c r="B588" t="str">
        <f>"掬元開發建設有限公司 集合住宅新建工程"</f>
        <v>掬元開發建設有限公司 集合住宅新建工程</v>
      </c>
      <c r="C588" t="str">
        <f>"(107)栗商建竹建字 第00002號"</f>
        <v>(107)栗商建竹建字 第00002號</v>
      </c>
      <c r="D588" t="str">
        <f>"108/11/18"</f>
        <v>108/11/18</v>
      </c>
      <c r="E588" t="str">
        <f>"2019/11/1 上午 12:00:00"</f>
        <v>2019/11/1 上午 12:00:00</v>
      </c>
      <c r="F588" t="s">
        <v>9</v>
      </c>
    </row>
    <row r="589" spans="1:6" ht="16.5">
      <c r="A589" t="str">
        <f>"HC108134564"</f>
        <v>HC108134564</v>
      </c>
      <c r="B589" t="str">
        <f>"新竹縣新埔鎮福田段61地號10層店鋪集合住宅新建工程"</f>
        <v>新竹縣新埔鎮福田段61地號10層店鋪集合住宅新建工程</v>
      </c>
      <c r="C589" t="str">
        <f>"(107)府建字 第00115號"</f>
        <v>(107)府建字 第00115號</v>
      </c>
      <c r="D589" t="str">
        <f>"108/11/18"</f>
        <v>108/11/18</v>
      </c>
      <c r="E589" t="str">
        <f>"2019/11/6 上午 12:00:00"</f>
        <v>2019/11/6 上午 12:00:00</v>
      </c>
      <c r="F589" t="s">
        <v>19</v>
      </c>
    </row>
    <row r="590" spans="1:6" ht="16.5">
      <c r="A590" t="str">
        <f>"HC108134597"</f>
        <v>HC108134597</v>
      </c>
      <c r="B590" t="str">
        <f>"君廷建設有限公司集合住宅新建工程"</f>
        <v>君廷建設有限公司集合住宅新建工程</v>
      </c>
      <c r="C590" t="str">
        <f>"(107)府建字 第000122號"</f>
        <v>(107)府建字 第000122號</v>
      </c>
      <c r="D590" t="str">
        <f>"108/11/18"</f>
        <v>108/11/18</v>
      </c>
      <c r="E590" t="str">
        <f>"2019/11/1 上午 12:00:00"</f>
        <v>2019/11/1 上午 12:00:00</v>
      </c>
      <c r="F590" t="s">
        <v>9</v>
      </c>
    </row>
    <row r="591" spans="1:6" ht="16.5">
      <c r="A591" t="str">
        <f>"PT308134805"</f>
        <v>PT308134805</v>
      </c>
      <c r="B591" t="str">
        <f>"南京建設股份有限公司  店鋪集合住宅新建工程"</f>
        <v>南京建設股份有限公司  店鋪集合住宅新建工程</v>
      </c>
      <c r="C591" t="str">
        <f>"(105)高市工建築字第01456號"</f>
        <v>(105)高市工建築字第01456號</v>
      </c>
      <c r="D591" t="str">
        <f>"108/11/05"</f>
        <v>108/11/05</v>
      </c>
      <c r="E591" t="str">
        <f>"2019/10/31 上午 12:00:00"</f>
        <v>2019/10/31 上午 12:00:00</v>
      </c>
      <c r="F591" t="s">
        <v>6</v>
      </c>
    </row>
    <row r="592" spans="1:6" ht="16.5">
      <c r="A592" t="str">
        <f>"ML108134820"</f>
        <v>ML108134820</v>
      </c>
      <c r="B592" t="str">
        <f>"鄒惠禎住宅新建工程"</f>
        <v>鄒惠禎住宅新建工程</v>
      </c>
      <c r="C592" t="str">
        <f>"(104)府工建字第00176號"</f>
        <v>(104)府工建字第00176號</v>
      </c>
      <c r="D592" t="str">
        <f>"108/11/04"</f>
        <v>108/11/04</v>
      </c>
      <c r="E592" t="str">
        <f>"2019/11/4 上午 12:00:00"</f>
        <v>2019/11/4 上午 12:00:00</v>
      </c>
      <c r="F592" t="str">
        <f>"A1"</f>
        <v>A1</v>
      </c>
    </row>
    <row r="593" spans="1:6" ht="16.5">
      <c r="A593" t="str">
        <f>"TP208135302"</f>
        <v>TP208135302</v>
      </c>
      <c r="B593" t="s">
        <v>59</v>
      </c>
      <c r="C593" t="str">
        <f>"106建字第0061號"</f>
        <v>106建字第0061號</v>
      </c>
      <c r="D593" t="str">
        <f>"108/11/04"</f>
        <v>108/11/04</v>
      </c>
      <c r="E593" t="str">
        <f>"2019/10/31 上午 12:00:00"</f>
        <v>2019/10/31 上午 12:00:00</v>
      </c>
      <c r="F593" t="str">
        <f>"A1"</f>
        <v>A1</v>
      </c>
    </row>
    <row r="594" spans="1:6" ht="16.5">
      <c r="A594" t="str">
        <f>"AA008135353"</f>
        <v>AA008135353</v>
      </c>
      <c r="B594" t="str">
        <f>"張素娟 住宅新建工程"</f>
        <v>張素娟 住宅新建工程</v>
      </c>
      <c r="C594" t="str">
        <f>"(106)栗商建通建字第00012號"</f>
        <v>(106)栗商建通建字第00012號</v>
      </c>
      <c r="D594" t="str">
        <f>"108/11/28"</f>
        <v>108/11/28</v>
      </c>
      <c r="E594" t="str">
        <f>"2019/11/19 上午 12:00:00"</f>
        <v>2019/11/19 上午 12:00:00</v>
      </c>
      <c r="F594" t="str">
        <f>"A1"</f>
        <v>A1</v>
      </c>
    </row>
    <row r="595" spans="1:6" ht="16.5">
      <c r="A595" t="str">
        <f>"TY108135418"</f>
        <v>TY108135418</v>
      </c>
      <c r="B595" t="str">
        <f>"住宅"</f>
        <v>住宅</v>
      </c>
      <c r="C595" t="str">
        <f>"(106)桃市都建執照字第會壢00814號"</f>
        <v>(106)桃市都建執照字第會壢00814號</v>
      </c>
      <c r="D595" t="str">
        <f>"108/11/27"</f>
        <v>108/11/27</v>
      </c>
      <c r="E595" t="str">
        <f>"2019/11/27 上午 12:00:00"</f>
        <v>2019/11/27 上午 12:00:00</v>
      </c>
      <c r="F595" t="str">
        <f>"A1"</f>
        <v>A1</v>
      </c>
    </row>
    <row r="596" spans="1:6" ht="16.5">
      <c r="A596" t="str">
        <f>"AA008135562"</f>
        <v>AA008135562</v>
      </c>
      <c r="B596" t="str">
        <f>"A1 李芷懿住宅新建工程"</f>
        <v>A1 李芷懿住宅新建工程</v>
      </c>
      <c r="C596" t="str">
        <f>"106中都建字第00902號"</f>
        <v>106中都建字第00902號</v>
      </c>
      <c r="D596" t="str">
        <f>"108/11/17"</f>
        <v>108/11/17</v>
      </c>
      <c r="E596" t="str">
        <f>"2019/11/13 上午 12:00:00"</f>
        <v>2019/11/13 上午 12:00:00</v>
      </c>
      <c r="F596" t="str">
        <f>"A1"</f>
        <v>A1</v>
      </c>
    </row>
    <row r="597" spans="1:6" ht="16.5">
      <c r="A597" t="str">
        <f>"ML108135625"</f>
        <v>ML108135625</v>
      </c>
      <c r="B597" t="str">
        <f>"陳慶昆等5戶住宅新建工程"</f>
        <v>陳慶昆等5戶住宅新建工程</v>
      </c>
      <c r="C597" t="str">
        <f>"(105)栗商建竹建字第00003號"</f>
        <v>(105)栗商建竹建字第00003號</v>
      </c>
      <c r="D597" t="str">
        <f>"108/11/04"</f>
        <v>108/11/04</v>
      </c>
      <c r="E597" t="str">
        <f>"2019/11/4 上午 12:00:00"</f>
        <v>2019/11/4 上午 12:00:00</v>
      </c>
      <c r="F597" t="str">
        <f>"B1"</f>
        <v>B1</v>
      </c>
    </row>
    <row r="598" spans="1:6" ht="16.5">
      <c r="A598" t="str">
        <f>"AA008135755"</f>
        <v>AA008135755</v>
      </c>
      <c r="B598" t="str">
        <f>"洪美滿住宅新建工程"</f>
        <v>洪美滿住宅新建工程</v>
      </c>
      <c r="C598" t="str">
        <f>"(106)栗商建後建字第00068號"</f>
        <v>(106)栗商建後建字第00068號</v>
      </c>
      <c r="D598" t="str">
        <f>"108/11/18"</f>
        <v>108/11/18</v>
      </c>
      <c r="E598" t="str">
        <f>"2019/11/8 上午 12:00:00"</f>
        <v>2019/11/8 上午 12:00:00</v>
      </c>
      <c r="F598" t="str">
        <f>"A1"</f>
        <v>A1</v>
      </c>
    </row>
    <row r="599" spans="1:6" ht="16.5">
      <c r="A599" t="str">
        <f>"TC208135957"</f>
        <v>TC208135957</v>
      </c>
      <c r="B599" t="str">
        <f>"A1x2 黃家振.黃怡萍住宅新建工程"</f>
        <v>A1x2 黃家振.黃怡萍住宅新建工程</v>
      </c>
      <c r="C599" t="s">
        <v>60</v>
      </c>
      <c r="D599" t="str">
        <f>"108/11/02"</f>
        <v>108/11/02</v>
      </c>
      <c r="E599" t="str">
        <f>"2019/11/1 上午 12:00:00"</f>
        <v>2019/11/1 上午 12:00:00</v>
      </c>
      <c r="F599" t="str">
        <f>"A1"</f>
        <v>A1</v>
      </c>
    </row>
    <row r="600" spans="1:6" ht="16.5">
      <c r="A600" t="str">
        <f>"TC208135982"</f>
        <v>TC208135982</v>
      </c>
      <c r="B600" t="str">
        <f>"A1x2 劉益年等住宅新建工程"</f>
        <v>A1x2 劉益年等住宅新建工程</v>
      </c>
      <c r="C600" t="s">
        <v>61</v>
      </c>
      <c r="D600" t="str">
        <f>"108/11/05"</f>
        <v>108/11/05</v>
      </c>
      <c r="E600" t="str">
        <f>"2019/11/4 上午 12:00:00"</f>
        <v>2019/11/4 上午 12:00:00</v>
      </c>
      <c r="F600" t="str">
        <f>"A1"</f>
        <v>A1</v>
      </c>
    </row>
    <row r="601" spans="1:6" ht="16.5">
      <c r="A601" t="str">
        <f>"TC208135996"</f>
        <v>TC208135996</v>
      </c>
      <c r="B601" t="str">
        <f>"B1 蔡騰易住宅新建工程"</f>
        <v>B1 蔡騰易住宅新建工程</v>
      </c>
      <c r="C601" t="str">
        <f>"106中都建字第01153號"</f>
        <v>106中都建字第01153號</v>
      </c>
      <c r="D601" t="str">
        <f>"108/11/13"</f>
        <v>108/11/13</v>
      </c>
      <c r="E601" t="str">
        <f>"2019/11/4 上午 12:00:00"</f>
        <v>2019/11/4 上午 12:00:00</v>
      </c>
      <c r="F601" t="str">
        <f>"B1"</f>
        <v>B1</v>
      </c>
    </row>
    <row r="602" spans="1:6" ht="16.5">
      <c r="A602" t="str">
        <f>"TC108136032"</f>
        <v>TC108136032</v>
      </c>
      <c r="B602" t="str">
        <f>"A1古慈俐店鋪. 住宅新建工程"</f>
        <v>A1古慈俐店鋪. 住宅新建工程</v>
      </c>
      <c r="C602" t="str">
        <f>"103中都建字第1150號"</f>
        <v>103中都建字第1150號</v>
      </c>
      <c r="D602" t="str">
        <f>"108/11/04"</f>
        <v>108/11/04</v>
      </c>
      <c r="E602" t="str">
        <f>"2019/11/4 上午 12:00:00"</f>
        <v>2019/11/4 上午 12:00:00</v>
      </c>
      <c r="F602" t="str">
        <f>"A1"</f>
        <v>A1</v>
      </c>
    </row>
    <row r="603" spans="1:6" ht="16.5">
      <c r="A603" t="str">
        <f>"TY108136148"</f>
        <v>TY108136148</v>
      </c>
      <c r="B603" t="str">
        <f>"陳盈旭等住宅新建工程"</f>
        <v>陳盈旭等住宅新建工程</v>
      </c>
      <c r="C603" t="str">
        <f>"(105)桃市都建執照字第會蘆01406號"</f>
        <v>(105)桃市都建執照字第會蘆01406號</v>
      </c>
      <c r="D603" t="str">
        <f>"108/11/04"</f>
        <v>108/11/04</v>
      </c>
      <c r="E603" t="str">
        <f>"2019/11/1 上午 12:00:00"</f>
        <v>2019/11/1 上午 12:00:00</v>
      </c>
      <c r="F603" t="str">
        <f>"A1"</f>
        <v>A1</v>
      </c>
    </row>
    <row r="604" spans="1:6" ht="16.5">
      <c r="A604" t="str">
        <f>"TP308136221"</f>
        <v>TP308136221</v>
      </c>
      <c r="B604" t="str">
        <f>"桃園縣楊梅地區汙水下水道系統第一期汙水處理廠新建工程"</f>
        <v>桃園縣楊梅地區汙水下水道系統第一期汙水處理廠新建工程</v>
      </c>
      <c r="C604" t="str">
        <f>"(105)桃市都建執照字第會楊00214號府都建照字第1050046174號"</f>
        <v>(105)桃市都建執照字第會楊00214號府都建照字第1050046174號</v>
      </c>
      <c r="D604" t="str">
        <f>"108/11/08"</f>
        <v>108/11/08</v>
      </c>
      <c r="E604" t="str">
        <f>"2019/11/6 上午 12:00:00"</f>
        <v>2019/11/6 上午 12:00:00</v>
      </c>
      <c r="F604" t="str">
        <f>"C1"</f>
        <v>C1</v>
      </c>
    </row>
    <row r="605" spans="1:6" ht="16.5">
      <c r="A605" t="str">
        <f>"TY108136436"</f>
        <v>TY108136436</v>
      </c>
      <c r="B605" t="str">
        <f>"范玉萍農舍"</f>
        <v>范玉萍農舍</v>
      </c>
      <c r="C605" t="str">
        <f>"104桃市都建執照字第會楊01329號"</f>
        <v>104桃市都建執照字第會楊01329號</v>
      </c>
      <c r="D605" t="str">
        <f>"108/11/11"</f>
        <v>108/11/11</v>
      </c>
      <c r="E605" t="str">
        <f>"2019/11/11 上午 12:00:00"</f>
        <v>2019/11/11 上午 12:00:00</v>
      </c>
      <c r="F605" t="str">
        <f>"A1"</f>
        <v>A1</v>
      </c>
    </row>
    <row r="606" spans="1:6" ht="16.5">
      <c r="A606" t="str">
        <f>"TC208136489"</f>
        <v>TC208136489</v>
      </c>
      <c r="B606" t="str">
        <f>"A1x2 曾繁祐.曾洪碧蓮等2戶住宅新建工程"</f>
        <v>A1x2 曾繁祐.曾洪碧蓮等2戶住宅新建工程</v>
      </c>
      <c r="C606" t="s">
        <v>62</v>
      </c>
      <c r="D606" t="str">
        <f>"108/11/05"</f>
        <v>108/11/05</v>
      </c>
      <c r="E606" t="str">
        <f>"2019/11/5 上午 12:00:00"</f>
        <v>2019/11/5 上午 12:00:00</v>
      </c>
      <c r="F606" t="str">
        <f>"A1"</f>
        <v>A1</v>
      </c>
    </row>
    <row r="607" spans="1:6" ht="16.5">
      <c r="A607" t="str">
        <f>"TY108136515"</f>
        <v>TY108136515</v>
      </c>
      <c r="B607" t="str">
        <f>"漢鼎建設八德興豐段拾參層集合住宅新建工程"</f>
        <v>漢鼎建設八德興豐段拾參層集合住宅新建工程</v>
      </c>
      <c r="C607" t="str">
        <f>"102桃縣工建執照字第會德01546-01號"</f>
        <v>102桃縣工建執照字第會德01546-01號</v>
      </c>
      <c r="D607" t="str">
        <f>"108/11/11"</f>
        <v>108/11/11</v>
      </c>
      <c r="E607" t="str">
        <f aca="true" t="shared" si="12" ref="E607:E612">"2019/11/4 上午 12:00:00"</f>
        <v>2019/11/4 上午 12:00:00</v>
      </c>
      <c r="F607" t="s">
        <v>19</v>
      </c>
    </row>
    <row r="608" spans="1:6" ht="16.5">
      <c r="A608" t="str">
        <f>"TC208136526"</f>
        <v>TC208136526</v>
      </c>
      <c r="B608" t="str">
        <f>"A1 林華真住宅新建工程"</f>
        <v>A1 林華真住宅新建工程</v>
      </c>
      <c r="C608" t="str">
        <f>"105中都建字第00218號"</f>
        <v>105中都建字第00218號</v>
      </c>
      <c r="D608" t="str">
        <f>"108/11/06"</f>
        <v>108/11/06</v>
      </c>
      <c r="E608" t="str">
        <f t="shared" si="12"/>
        <v>2019/11/4 上午 12:00:00</v>
      </c>
      <c r="F608" t="str">
        <f>"A1"</f>
        <v>A1</v>
      </c>
    </row>
    <row r="609" spans="1:6" ht="16.5">
      <c r="A609" t="str">
        <f>"TC208136540"</f>
        <v>TC208136540</v>
      </c>
      <c r="B609" t="str">
        <f>"A1 鄧佩儀住宅新建工程"</f>
        <v>A1 鄧佩儀住宅新建工程</v>
      </c>
      <c r="C609" t="str">
        <f>"106中都建字第01602號"</f>
        <v>106中都建字第01602號</v>
      </c>
      <c r="D609" t="str">
        <f>"108/11/06"</f>
        <v>108/11/06</v>
      </c>
      <c r="E609" t="str">
        <f t="shared" si="12"/>
        <v>2019/11/4 上午 12:00:00</v>
      </c>
      <c r="F609" t="str">
        <f>"A1"</f>
        <v>A1</v>
      </c>
    </row>
    <row r="610" spans="1:6" ht="16.5">
      <c r="A610" t="str">
        <f>"ML108136550"</f>
        <v>ML108136550</v>
      </c>
      <c r="B610" t="str">
        <f>"宏家建設股份有限公司 集合住宅新建工程"</f>
        <v>宏家建設股份有限公司 集合住宅新建工程</v>
      </c>
      <c r="C610" t="str">
        <f>"(106)府工建字第00085號"</f>
        <v>(106)府工建字第00085號</v>
      </c>
      <c r="D610" t="str">
        <f>"108/11/04"</f>
        <v>108/11/04</v>
      </c>
      <c r="E610" t="str">
        <f t="shared" si="12"/>
        <v>2019/11/4 上午 12:00:00</v>
      </c>
      <c r="F610" t="s">
        <v>6</v>
      </c>
    </row>
    <row r="611" spans="1:6" ht="16.5">
      <c r="A611" t="str">
        <f>"TC208136564"</f>
        <v>TC208136564</v>
      </c>
      <c r="B611" t="str">
        <f>"C1 瞬豐實業有限公司廠房新建工程"</f>
        <v>C1 瞬豐實業有限公司廠房新建工程</v>
      </c>
      <c r="C611" t="str">
        <f>"105中都建字第01545號"</f>
        <v>105中都建字第01545號</v>
      </c>
      <c r="D611" t="str">
        <f>"108/11/06"</f>
        <v>108/11/06</v>
      </c>
      <c r="E611" t="str">
        <f t="shared" si="12"/>
        <v>2019/11/4 上午 12:00:00</v>
      </c>
      <c r="F611" t="str">
        <f>"C1"</f>
        <v>C1</v>
      </c>
    </row>
    <row r="612" spans="1:6" ht="16.5">
      <c r="A612" t="str">
        <f>"TC208136579"</f>
        <v>TC208136579</v>
      </c>
      <c r="B612" t="str">
        <f>"A1 羅永昇住宅新建工程"</f>
        <v>A1 羅永昇住宅新建工程</v>
      </c>
      <c r="C612" t="str">
        <f>"105中都建字第01418號"</f>
        <v>105中都建字第01418號</v>
      </c>
      <c r="D612" t="str">
        <f>"108/11/06"</f>
        <v>108/11/06</v>
      </c>
      <c r="E612" t="str">
        <f t="shared" si="12"/>
        <v>2019/11/4 上午 12:00:00</v>
      </c>
      <c r="F612" t="str">
        <f>"A1"</f>
        <v>A1</v>
      </c>
    </row>
    <row r="613" spans="1:6" ht="16.5">
      <c r="A613" t="str">
        <f>"HC108136730"</f>
        <v>HC108136730</v>
      </c>
      <c r="B613" t="str">
        <f>"湖口新工福德宮-寺廟新建工程"</f>
        <v>湖口新工福德宮-寺廟新建工程</v>
      </c>
      <c r="C613" t="str">
        <f>"108府建字第00043號"</f>
        <v>108府建字第00043號</v>
      </c>
      <c r="D613" t="str">
        <f>"108/11/18"</f>
        <v>108/11/18</v>
      </c>
      <c r="E613" t="str">
        <f>"2019/11/6 上午 12:00:00"</f>
        <v>2019/11/6 上午 12:00:00</v>
      </c>
      <c r="F613" t="s">
        <v>6</v>
      </c>
    </row>
    <row r="614" spans="1:6" ht="16.5">
      <c r="A614" t="str">
        <f>"TP608136788"</f>
        <v>TP608136788</v>
      </c>
      <c r="B614" t="str">
        <f>"傅姿媛 龜山區精忠段護理之家新建工程"</f>
        <v>傅姿媛 龜山區精忠段護理之家新建工程</v>
      </c>
      <c r="C614" t="str">
        <f>"106 桃市都建執照字第會龜00780號"</f>
        <v>106 桃市都建執照字第會龜00780號</v>
      </c>
      <c r="D614" t="str">
        <f>"108/11/08"</f>
        <v>108/11/08</v>
      </c>
      <c r="E614" t="str">
        <f>"2019/11/4 上午 12:00:00"</f>
        <v>2019/11/4 上午 12:00:00</v>
      </c>
      <c r="F614" t="str">
        <f>"C1"</f>
        <v>C1</v>
      </c>
    </row>
    <row r="615" spans="1:6" ht="16.5">
      <c r="A615" t="str">
        <f>"HC108136805"</f>
        <v>HC108136805</v>
      </c>
      <c r="B615" t="str">
        <f>"李文富住宅新建工程"</f>
        <v>李文富住宅新建工程</v>
      </c>
      <c r="C615" t="str">
        <f>"106府工建字第00273號"</f>
        <v>106府工建字第00273號</v>
      </c>
      <c r="D615" t="str">
        <f>"108/11/18"</f>
        <v>108/11/18</v>
      </c>
      <c r="E615" t="str">
        <f>"2019/11/8 上午 12:00:00"</f>
        <v>2019/11/8 上午 12:00:00</v>
      </c>
      <c r="F615" t="s">
        <v>7</v>
      </c>
    </row>
    <row r="616" spans="1:6" ht="16.5">
      <c r="A616" t="str">
        <f>"AA008137068"</f>
        <v>AA008137068</v>
      </c>
      <c r="B616" t="str">
        <f>"B1黃潭城廠房第二次變更設計工程"</f>
        <v>B1黃潭城廠房第二次變更設計工程</v>
      </c>
      <c r="C616" t="str">
        <f>"107中都建字第01926號"</f>
        <v>107中都建字第01926號</v>
      </c>
      <c r="D616" t="str">
        <f>"108/11/19"</f>
        <v>108/11/19</v>
      </c>
      <c r="E616" t="str">
        <f>"2019/11/13 上午 12:00:00"</f>
        <v>2019/11/13 上午 12:00:00</v>
      </c>
      <c r="F616" t="str">
        <f>"B1"</f>
        <v>B1</v>
      </c>
    </row>
    <row r="617" spans="1:6" ht="16.5">
      <c r="A617" t="str">
        <f>"TC208137104"</f>
        <v>TC208137104</v>
      </c>
      <c r="B617" t="s">
        <v>63</v>
      </c>
      <c r="C617" t="str">
        <f>"(105)府建管(建)字第0254296號"</f>
        <v>(105)府建管(建)字第0254296號</v>
      </c>
      <c r="D617" t="str">
        <f>"108/11/10"</f>
        <v>108/11/10</v>
      </c>
      <c r="E617" t="str">
        <f>"2019/11/7 上午 12:00:00"</f>
        <v>2019/11/7 上午 12:00:00</v>
      </c>
      <c r="F617" t="s">
        <v>6</v>
      </c>
    </row>
    <row r="618" spans="1:6" ht="16.5">
      <c r="A618" t="str">
        <f>"AA008137131"</f>
        <v>AA008137131</v>
      </c>
      <c r="B618" t="str">
        <f>"A1-豪心建設股份有限公司店鋪住宅新建工程-變更設計"</f>
        <v>A1-豪心建設股份有限公司店鋪住宅新建工程-變更設計</v>
      </c>
      <c r="C618" t="str">
        <f>"106雲營建字第00603號"</f>
        <v>106雲營建字第00603號</v>
      </c>
      <c r="D618" t="str">
        <f>"108/11/14"</f>
        <v>108/11/14</v>
      </c>
      <c r="E618" t="str">
        <f>"2019/11/14 上午 12:00:00"</f>
        <v>2019/11/14 上午 12:00:00</v>
      </c>
      <c r="F618" t="str">
        <f>"A1"</f>
        <v>A1</v>
      </c>
    </row>
    <row r="619" spans="1:6" ht="16.5">
      <c r="A619" t="str">
        <f>"TC208137148"</f>
        <v>TC208137148</v>
      </c>
      <c r="B619" t="s">
        <v>64</v>
      </c>
      <c r="C619" t="str">
        <f>"106中都建字第00914號"</f>
        <v>106中都建字第00914號</v>
      </c>
      <c r="D619" t="str">
        <f>"108/11/11"</f>
        <v>108/11/11</v>
      </c>
      <c r="E619" t="str">
        <f>"2019/11/6 上午 12:00:00"</f>
        <v>2019/11/6 上午 12:00:00</v>
      </c>
      <c r="F619" t="s">
        <v>10</v>
      </c>
    </row>
    <row r="620" spans="1:6" ht="16.5">
      <c r="A620" t="str">
        <f>"KH408137355"</f>
        <v>KH408137355</v>
      </c>
      <c r="B620" t="s">
        <v>65</v>
      </c>
      <c r="C620" t="str">
        <f>"(106)高市工建築字第01636號"</f>
        <v>(106)高市工建築字第01636號</v>
      </c>
      <c r="D620" t="str">
        <f>"108/11/06"</f>
        <v>108/11/06</v>
      </c>
      <c r="E620" t="str">
        <f>"2019/11/6 上午 12:00:00"</f>
        <v>2019/11/6 上午 12:00:00</v>
      </c>
      <c r="F620" t="str">
        <f>"D3"</f>
        <v>D3</v>
      </c>
    </row>
    <row r="621" spans="1:6" ht="16.5">
      <c r="A621" t="str">
        <f>"ML108137401"</f>
        <v>ML108137401</v>
      </c>
      <c r="B621" t="str">
        <f>"田永進 店舖.辦公室.住宅新建工程"</f>
        <v>田永進 店舖.辦公室.住宅新建工程</v>
      </c>
      <c r="C621" t="str">
        <f>"(104)府建字第00428號"</f>
        <v>(104)府建字第00428號</v>
      </c>
      <c r="D621" t="str">
        <f>"108/11/28"</f>
        <v>108/11/28</v>
      </c>
      <c r="E621" t="str">
        <f>"2019/11/14 上午 12:00:00"</f>
        <v>2019/11/14 上午 12:00:00</v>
      </c>
      <c r="F621" t="str">
        <f>"B1"</f>
        <v>B1</v>
      </c>
    </row>
    <row r="622" spans="1:6" ht="16.5">
      <c r="A622" t="str">
        <f>"TY108137445"</f>
        <v>TY108137445</v>
      </c>
      <c r="B622" t="str">
        <f>"佳恩科技冬山寶員段7戶住宅新建工程"</f>
        <v>佳恩科技冬山寶員段7戶住宅新建工程</v>
      </c>
      <c r="C622" t="str">
        <f>"106.05.22冬鄉建字第8870~8870-6號"</f>
        <v>106.05.22冬鄉建字第8870~8870-6號</v>
      </c>
      <c r="D622" t="str">
        <f>"108/11/06"</f>
        <v>108/11/06</v>
      </c>
      <c r="E622" t="str">
        <f>"2019/11/5 上午 12:00:00"</f>
        <v>2019/11/5 上午 12:00:00</v>
      </c>
      <c r="F622" t="str">
        <f>"A1"</f>
        <v>A1</v>
      </c>
    </row>
    <row r="623" spans="1:6" ht="16.5">
      <c r="A623" t="str">
        <f>"KH408137640"</f>
        <v>KH408137640</v>
      </c>
      <c r="B623" t="str">
        <f>"鳳山區營業處小港巡修中心新建工程"</f>
        <v>鳳山區營業處小港巡修中心新建工程</v>
      </c>
      <c r="C623" t="str">
        <f>"(106)高市工建築字第01223號"</f>
        <v>(106)高市工建築字第01223號</v>
      </c>
      <c r="D623" t="str">
        <f>"108/11/07"</f>
        <v>108/11/07</v>
      </c>
      <c r="E623" t="str">
        <f>"2019/11/7 上午 12:00:00"</f>
        <v>2019/11/7 上午 12:00:00</v>
      </c>
      <c r="F623" t="s">
        <v>58</v>
      </c>
    </row>
    <row r="624" spans="1:6" ht="16.5">
      <c r="A624" t="str">
        <f>"TP308137706"</f>
        <v>TP308137706</v>
      </c>
      <c r="B624" t="str">
        <f>"基隆市暖暖區暖暖段暖暖小段455地號集合住宅新建工程"</f>
        <v>基隆市暖暖區暖暖段暖暖小段455地號集合住宅新建工程</v>
      </c>
      <c r="C624" t="str">
        <f>"(101)基府都建字第00040號"</f>
        <v>(101)基府都建字第00040號</v>
      </c>
      <c r="D624" t="str">
        <f>"108/11/19"</f>
        <v>108/11/19</v>
      </c>
      <c r="E624" t="str">
        <f>"2019/11/6 上午 12:00:00"</f>
        <v>2019/11/6 上午 12:00:00</v>
      </c>
      <c r="F624" t="str">
        <f>"C1"</f>
        <v>C1</v>
      </c>
    </row>
    <row r="625" spans="1:6" ht="16.5">
      <c r="A625" t="str">
        <f>"TC208137947"</f>
        <v>TC208137947</v>
      </c>
      <c r="B625" t="str">
        <f>"A1 張雅欣住宅新建工程"</f>
        <v>A1 張雅欣住宅新建工程</v>
      </c>
      <c r="C625" t="str">
        <f>"106中都建字第01462號"</f>
        <v>106中都建字第01462號</v>
      </c>
      <c r="D625" t="str">
        <f>"108/11/07"</f>
        <v>108/11/07</v>
      </c>
      <c r="E625" t="str">
        <f>"2019/11/6 上午 12:00:00"</f>
        <v>2019/11/6 上午 12:00:00</v>
      </c>
      <c r="F625" t="str">
        <f>"A1"</f>
        <v>A1</v>
      </c>
    </row>
    <row r="626" spans="1:6" ht="16.5">
      <c r="A626" t="str">
        <f>"TC208137968"</f>
        <v>TC208137968</v>
      </c>
      <c r="B626" t="str">
        <f>"A1 蕭宗和等住宅新建工程"</f>
        <v>A1 蕭宗和等住宅新建工程</v>
      </c>
      <c r="C626" t="str">
        <f>"105中都建字第01601號"</f>
        <v>105中都建字第01601號</v>
      </c>
      <c r="D626" t="str">
        <f>"108/11/07"</f>
        <v>108/11/07</v>
      </c>
      <c r="E626" t="str">
        <f>"2019/11/6 上午 12:00:00"</f>
        <v>2019/11/6 上午 12:00:00</v>
      </c>
      <c r="F626" t="str">
        <f>"A1"</f>
        <v>A1</v>
      </c>
    </row>
    <row r="627" spans="1:6" ht="16.5">
      <c r="A627" t="str">
        <f>"TC208138041"</f>
        <v>TC208138041</v>
      </c>
      <c r="B627" t="str">
        <f>"C1 金農友生技股份有限公司廠房新建工程"</f>
        <v>C1 金農友生技股份有限公司廠房新建工程</v>
      </c>
      <c r="C627" t="str">
        <f>"(105)府建管(建)字第0316772號"</f>
        <v>(105)府建管(建)字第0316772號</v>
      </c>
      <c r="D627" t="str">
        <f>"108/11/13"</f>
        <v>108/11/13</v>
      </c>
      <c r="E627" t="str">
        <f>"2019/11/8 上午 12:00:00"</f>
        <v>2019/11/8 上午 12:00:00</v>
      </c>
      <c r="F627" t="str">
        <f>"C1"</f>
        <v>C1</v>
      </c>
    </row>
    <row r="628" spans="1:6" ht="16.5">
      <c r="A628" t="str">
        <f>"PT308138065"</f>
        <v>PT308138065</v>
      </c>
      <c r="B628" t="str">
        <f>"前金區後金段189-2等1筆地號店鋪住宅新建工程"</f>
        <v>前金區後金段189-2等1筆地號店鋪住宅新建工程</v>
      </c>
      <c r="C628" t="str">
        <f>"(105)高市工建築字第00460-01號"</f>
        <v>(105)高市工建築字第00460-01號</v>
      </c>
      <c r="D628" t="str">
        <f>"108/11/12"</f>
        <v>108/11/12</v>
      </c>
      <c r="E628" t="str">
        <f>"2019/11/6 上午 12:00:00"</f>
        <v>2019/11/6 上午 12:00:00</v>
      </c>
      <c r="F628" t="str">
        <f>"C1"</f>
        <v>C1</v>
      </c>
    </row>
    <row r="629" spans="1:6" ht="16.5">
      <c r="A629" t="str">
        <f>"TN208138221"</f>
        <v>TN208138221</v>
      </c>
      <c r="B629" t="str">
        <f>"營新醫院護理之家新建工程"</f>
        <v>營新醫院護理之家新建工程</v>
      </c>
      <c r="C629" t="str">
        <f>" (105)南工造字第01677號"</f>
        <v> (105)南工造字第01677號</v>
      </c>
      <c r="D629" t="str">
        <f>"108/11/09"</f>
        <v>108/11/09</v>
      </c>
      <c r="E629" t="str">
        <f>"2019/11/6 上午 12:00:00"</f>
        <v>2019/11/6 上午 12:00:00</v>
      </c>
      <c r="F629" t="str">
        <f>"C1"</f>
        <v>C1</v>
      </c>
    </row>
    <row r="630" spans="1:6" ht="16.5">
      <c r="A630" t="str">
        <f>"HC108138302"</f>
        <v>HC108138302</v>
      </c>
      <c r="B630" t="str">
        <f>"李慎銘住宅新建工程"</f>
        <v>李慎銘住宅新建工程</v>
      </c>
      <c r="C630" t="str">
        <f>"(107)府都建字 第00194號"</f>
        <v>(107)府都建字 第00194號</v>
      </c>
      <c r="D630" t="str">
        <f>"108/11/18"</f>
        <v>108/11/18</v>
      </c>
      <c r="E630" t="str">
        <f>"2019/11/7 上午 12:00:00"</f>
        <v>2019/11/7 上午 12:00:00</v>
      </c>
      <c r="F630" t="s">
        <v>9</v>
      </c>
    </row>
    <row r="631" spans="1:6" ht="16.5">
      <c r="A631" t="str">
        <f>"AA008138324"</f>
        <v>AA008138324</v>
      </c>
      <c r="B631" t="str">
        <f>"曄成建設苑裡鎮中正段肆層住宅新建工程"</f>
        <v>曄成建設苑裡鎮中正段肆層住宅新建工程</v>
      </c>
      <c r="C631" t="str">
        <f>"(107)栗商建苑建字第00003.00004號"</f>
        <v>(107)栗商建苑建字第00003.00004號</v>
      </c>
      <c r="D631" t="str">
        <f>"108/11/28"</f>
        <v>108/11/28</v>
      </c>
      <c r="E631" t="str">
        <f>"2019/11/22 上午 12:00:00"</f>
        <v>2019/11/22 上午 12:00:00</v>
      </c>
      <c r="F631" t="s">
        <v>66</v>
      </c>
    </row>
    <row r="632" spans="1:6" ht="16.5">
      <c r="A632" t="str">
        <f>"TC208138401"</f>
        <v>TC208138401</v>
      </c>
      <c r="B632" t="str">
        <f>"C1x2 陳勝雄等廠房新建工程"</f>
        <v>C1x2 陳勝雄等廠房新建工程</v>
      </c>
      <c r="C632" t="s">
        <v>67</v>
      </c>
      <c r="D632" t="str">
        <f>"108/11/07"</f>
        <v>108/11/07</v>
      </c>
      <c r="E632" t="str">
        <f>"2019/11/6 上午 12:00:00"</f>
        <v>2019/11/6 上午 12:00:00</v>
      </c>
      <c r="F632" t="str">
        <f>"C1"</f>
        <v>C1</v>
      </c>
    </row>
    <row r="633" spans="1:6" ht="16.5">
      <c r="A633" t="str">
        <f>"TC208138418"</f>
        <v>TC208138418</v>
      </c>
      <c r="B633" t="str">
        <f>"A1 賴東隆住宅新建工程"</f>
        <v>A1 賴東隆住宅新建工程</v>
      </c>
      <c r="C633" t="str">
        <f>"106中都建字第01362號"</f>
        <v>106中都建字第01362號</v>
      </c>
      <c r="D633" t="str">
        <f>"108/11/07"</f>
        <v>108/11/07</v>
      </c>
      <c r="E633" t="str">
        <f>"2019/11/6 上午 12:00:00"</f>
        <v>2019/11/6 上午 12:00:00</v>
      </c>
      <c r="F633" t="str">
        <f>"A1"</f>
        <v>A1</v>
      </c>
    </row>
    <row r="634" spans="1:6" ht="16.5">
      <c r="A634" t="str">
        <f>"PT308138625"</f>
        <v>PT308138625</v>
      </c>
      <c r="B634" t="str">
        <f>"協暘建設股份有限公司集合住宅水電新建工程"</f>
        <v>協暘建設股份有限公司集合住宅水電新建工程</v>
      </c>
      <c r="C634" t="str">
        <f>"(105)高市工建築字第02240號"</f>
        <v>(105)高市工建築字第02240號</v>
      </c>
      <c r="D634" t="str">
        <f>"108/11/13"</f>
        <v>108/11/13</v>
      </c>
      <c r="E634" t="str">
        <f>"2019/11/10 上午 12:00:00"</f>
        <v>2019/11/10 上午 12:00:00</v>
      </c>
      <c r="F634" t="s">
        <v>6</v>
      </c>
    </row>
    <row r="635" spans="1:6" ht="16.5">
      <c r="A635" t="str">
        <f>"TC208138677"</f>
        <v>TC208138677</v>
      </c>
      <c r="B635" t="str">
        <f>"C1財團法人台北市濟南基督長老教會主日學教室修護暨牧師館改建工程"</f>
        <v>C1財團法人台北市濟南基督長老教會主日學教室修護暨牧師館改建工程</v>
      </c>
      <c r="C635" t="str">
        <f>"105建字第0051號"</f>
        <v>105建字第0051號</v>
      </c>
      <c r="D635" t="str">
        <f>"108/11/19"</f>
        <v>108/11/19</v>
      </c>
      <c r="E635" t="str">
        <f>"2019/11/8 上午 12:00:00"</f>
        <v>2019/11/8 上午 12:00:00</v>
      </c>
      <c r="F635" t="str">
        <f>"C1"</f>
        <v>C1</v>
      </c>
    </row>
    <row r="636" spans="1:6" ht="16.5">
      <c r="A636" t="str">
        <f>"KH408138720"</f>
        <v>KH408138720</v>
      </c>
      <c r="B636" t="str">
        <f>"王慶文住宅新建工程"</f>
        <v>王慶文住宅新建工程</v>
      </c>
      <c r="C636" t="str">
        <f>"(106)高市工建築字第00575號"</f>
        <v>(106)高市工建築字第00575號</v>
      </c>
      <c r="D636" t="str">
        <f>"108/11/07"</f>
        <v>108/11/07</v>
      </c>
      <c r="E636" t="str">
        <f>"2019/11/7 上午 12:00:00"</f>
        <v>2019/11/7 上午 12:00:00</v>
      </c>
      <c r="F636" t="str">
        <f>"A1"</f>
        <v>A1</v>
      </c>
    </row>
    <row r="637" spans="1:6" ht="16.5">
      <c r="A637" t="str">
        <f>"TP508138820"</f>
        <v>TP508138820</v>
      </c>
      <c r="B637" t="str">
        <f>"文山區興隆路三段152巷2號萬芳興隆集合住宅新建工程"</f>
        <v>文山區興隆路三段152巷2號萬芳興隆集合住宅新建工程</v>
      </c>
      <c r="C637" t="str">
        <f>"105建字第0159號"</f>
        <v>105建字第0159號</v>
      </c>
      <c r="D637" t="str">
        <f>"108/11/13"</f>
        <v>108/11/13</v>
      </c>
      <c r="E637" t="str">
        <f>"2019/11/7 上午 12:00:00"</f>
        <v>2019/11/7 上午 12:00:00</v>
      </c>
      <c r="F637" t="s">
        <v>19</v>
      </c>
    </row>
    <row r="638" spans="1:6" ht="16.5">
      <c r="A638" t="str">
        <f>"TC208139065"</f>
        <v>TC208139065</v>
      </c>
      <c r="B638" t="str">
        <f>"A1 瀚程建設有限公司住宅新建工程"</f>
        <v>A1 瀚程建設有限公司住宅新建工程</v>
      </c>
      <c r="C638" t="str">
        <f>"106中都建字第00976號"</f>
        <v>106中都建字第00976號</v>
      </c>
      <c r="D638" t="str">
        <f>"108/11/11"</f>
        <v>108/11/11</v>
      </c>
      <c r="E638" t="str">
        <f>"2019/11/11 上午 12:00:00"</f>
        <v>2019/11/11 上午 12:00:00</v>
      </c>
      <c r="F638" t="str">
        <f>"A1"</f>
        <v>A1</v>
      </c>
    </row>
    <row r="639" spans="1:6" ht="16.5">
      <c r="A639" t="str">
        <f>"TP308139436"</f>
        <v>TP308139436</v>
      </c>
      <c r="B639" t="str">
        <f>"台北市大安區懷生段四小段179地號集合住宅新建工程"</f>
        <v>台北市大安區懷生段四小段179地號集合住宅新建工程</v>
      </c>
      <c r="C639" t="str">
        <f>"104建字第0302號"</f>
        <v>104建字第0302號</v>
      </c>
      <c r="D639" t="str">
        <f>"108/11/19"</f>
        <v>108/11/19</v>
      </c>
      <c r="E639" t="str">
        <f>"2019/11/8 上午 12:00:00"</f>
        <v>2019/11/8 上午 12:00:00</v>
      </c>
      <c r="F639" t="str">
        <f>"B1"</f>
        <v>B1</v>
      </c>
    </row>
    <row r="640" spans="1:6" ht="16.5">
      <c r="A640" t="str">
        <f>"TC208139799"</f>
        <v>TC208139799</v>
      </c>
      <c r="B640" t="str">
        <f>"B1x2 欣興建設股份有限公司9戶住宅新建工程"</f>
        <v>B1x2 欣興建設股份有限公司9戶住宅新建工程</v>
      </c>
      <c r="C640" t="s">
        <v>68</v>
      </c>
      <c r="D640" t="str">
        <f>"108/11/11"</f>
        <v>108/11/11</v>
      </c>
      <c r="E640" t="str">
        <f>"2019/11/11 上午 12:00:00"</f>
        <v>2019/11/11 上午 12:00:00</v>
      </c>
      <c r="F640" t="str">
        <f>"B1"</f>
        <v>B1</v>
      </c>
    </row>
    <row r="641" spans="1:6" ht="16.5">
      <c r="A641" t="str">
        <f>"ML108139849"</f>
        <v>ML108139849</v>
      </c>
      <c r="B641" t="str">
        <f>"公館鄉義民段12戶透天集合住宅新建工程"</f>
        <v>公館鄉義民段12戶透天集合住宅新建工程</v>
      </c>
      <c r="C641" t="str">
        <f>"(105)栗商建公建字第00046號"</f>
        <v>(105)栗商建公建字第00046號</v>
      </c>
      <c r="D641" t="str">
        <f>"108/11/28"</f>
        <v>108/11/28</v>
      </c>
      <c r="E641" t="str">
        <f>"2019/11/12 上午 12:00:00"</f>
        <v>2019/11/12 上午 12:00:00</v>
      </c>
      <c r="F641" t="s">
        <v>6</v>
      </c>
    </row>
    <row r="642" spans="1:6" ht="16.5">
      <c r="A642" t="str">
        <f>"ML108139857"</f>
        <v>ML108139857</v>
      </c>
      <c r="B642" t="str">
        <f>"程炬建設 苗栗縣公館鄉義民段集合住宅新建工程"</f>
        <v>程炬建設 苗栗縣公館鄉義民段集合住宅新建工程</v>
      </c>
      <c r="C642" t="str">
        <f>"(105)栗商建公建字第00045號"</f>
        <v>(105)栗商建公建字第00045號</v>
      </c>
      <c r="D642" t="str">
        <f>"108/11/28"</f>
        <v>108/11/28</v>
      </c>
      <c r="E642" t="str">
        <f>"2019/11/12 上午 12:00:00"</f>
        <v>2019/11/12 上午 12:00:00</v>
      </c>
      <c r="F642" t="s">
        <v>9</v>
      </c>
    </row>
    <row r="643" spans="1:6" ht="16.5">
      <c r="A643" t="str">
        <f>"TY108139878"</f>
        <v>TY108139878</v>
      </c>
      <c r="B643" t="str">
        <f>"參樓住宅新建工程"</f>
        <v>參樓住宅新建工程</v>
      </c>
      <c r="C643" t="str">
        <f>"(105)桃市都建執照字第會溪00145號"</f>
        <v>(105)桃市都建執照字第會溪00145號</v>
      </c>
      <c r="D643" t="str">
        <f>"108/11/11"</f>
        <v>108/11/11</v>
      </c>
      <c r="E643" t="str">
        <f>"2019/11/11 上午 12:00:00"</f>
        <v>2019/11/11 上午 12:00:00</v>
      </c>
      <c r="F643" t="str">
        <f>"A1"</f>
        <v>A1</v>
      </c>
    </row>
    <row r="644" spans="1:6" ht="16.5">
      <c r="A644" t="str">
        <f>"HC108139889"</f>
        <v>HC108139889</v>
      </c>
      <c r="B644" t="str">
        <f>"大霖建設有限公司集合住宅新建 工程"</f>
        <v>大霖建設有限公司集合住宅新建 工程</v>
      </c>
      <c r="C644" t="str">
        <f>"107府建字第00427號"</f>
        <v>107府建字第00427號</v>
      </c>
      <c r="D644" t="str">
        <f>"108/11/18"</f>
        <v>108/11/18</v>
      </c>
      <c r="E644" t="str">
        <f>"2019/11/12 上午 12:00:00"</f>
        <v>2019/11/12 上午 12:00:00</v>
      </c>
      <c r="F644" t="s">
        <v>9</v>
      </c>
    </row>
    <row r="645" spans="1:6" ht="16.5">
      <c r="A645" t="str">
        <f>"TY108139892"</f>
        <v>TY108139892</v>
      </c>
      <c r="B645" t="str">
        <f>"楊李秀枝桃園區陽明段住宅新建工程"</f>
        <v>楊李秀枝桃園區陽明段住宅新建工程</v>
      </c>
      <c r="C645" t="str">
        <f>"(105)桃市都建執照字第會桃00345號"</f>
        <v>(105)桃市都建執照字第會桃00345號</v>
      </c>
      <c r="D645" t="str">
        <f>"108/11/11"</f>
        <v>108/11/11</v>
      </c>
      <c r="E645" t="str">
        <f>"2019/11/11 上午 12:00:00"</f>
        <v>2019/11/11 上午 12:00:00</v>
      </c>
      <c r="F645" t="str">
        <f>"A1"</f>
        <v>A1</v>
      </c>
    </row>
    <row r="646" spans="1:6" ht="16.5">
      <c r="A646" t="str">
        <f>"HC108139947"</f>
        <v>HC108139947</v>
      </c>
      <c r="B646" t="str">
        <f>"祥冠建設有限公司廠房5戶新建工程"</f>
        <v>祥冠建設有限公司廠房5戶新建工程</v>
      </c>
      <c r="C646" t="str">
        <f>"104府工建字第00298號"</f>
        <v>104府工建字第00298號</v>
      </c>
      <c r="D646" t="str">
        <f>"108/11/18"</f>
        <v>108/11/18</v>
      </c>
      <c r="E646" t="str">
        <f>"2019/11/12 上午 12:00:00"</f>
        <v>2019/11/12 上午 12:00:00</v>
      </c>
      <c r="F646" t="s">
        <v>6</v>
      </c>
    </row>
    <row r="647" spans="1:6" ht="16.5">
      <c r="A647" t="str">
        <f>"TP608140032"</f>
        <v>TP608140032</v>
      </c>
      <c r="B647" t="str">
        <f>"林口區力行段828等7筆地號新建工程"</f>
        <v>林口區力行段828等7筆地號新建工程</v>
      </c>
      <c r="C647" t="str">
        <f>"105林建字第00361號"</f>
        <v>105林建字第00361號</v>
      </c>
      <c r="D647" t="str">
        <f>"108/11/14"</f>
        <v>108/11/14</v>
      </c>
      <c r="E647" t="str">
        <f>"2019/11/13 上午 12:00:00"</f>
        <v>2019/11/13 上午 12:00:00</v>
      </c>
      <c r="F647" t="s">
        <v>10</v>
      </c>
    </row>
    <row r="648" spans="1:6" ht="16.5">
      <c r="A648" t="str">
        <f>"AA008140054"</f>
        <v>AA008140054</v>
      </c>
      <c r="B648" t="str">
        <f>"京達建設有限公司 龍椅段24戶集合住宅新建工程"</f>
        <v>京達建設有限公司 龍椅段24戶集合住宅新建工程</v>
      </c>
      <c r="C648" t="str">
        <f>"(106)栗商建後建字第00094號"</f>
        <v>(106)栗商建後建字第00094號</v>
      </c>
      <c r="D648" t="str">
        <f>"108/11/28"</f>
        <v>108/11/28</v>
      </c>
      <c r="E648" t="str">
        <f>"2019/11/20 上午 12:00:00"</f>
        <v>2019/11/20 上午 12:00:00</v>
      </c>
      <c r="F648" t="s">
        <v>6</v>
      </c>
    </row>
    <row r="649" spans="1:6" ht="16.5">
      <c r="A649" t="str">
        <f>"TP608140116"</f>
        <v>TP608140116</v>
      </c>
      <c r="B649" t="str">
        <f>"鴻聖水電八德辦公室新建工程"</f>
        <v>鴻聖水電八德辦公室新建工程</v>
      </c>
      <c r="C649" t="str">
        <f>"104 桃市工建執照字第會德00002號"</f>
        <v>104 桃市工建執照字第會德00002號</v>
      </c>
      <c r="D649" t="str">
        <f>"108/11/21"</f>
        <v>108/11/21</v>
      </c>
      <c r="E649" t="str">
        <f>"2019/11/13 上午 12:00:00"</f>
        <v>2019/11/13 上午 12:00:00</v>
      </c>
      <c r="F649" t="str">
        <f>"C1"</f>
        <v>C1</v>
      </c>
    </row>
    <row r="650" spans="1:6" ht="16.5">
      <c r="A650" t="str">
        <f>"TC108140280"</f>
        <v>TC108140280</v>
      </c>
      <c r="B650" t="str">
        <f>"A1陳成福等四人住宅新建工程"</f>
        <v>A1陳成福等四人住宅新建工程</v>
      </c>
      <c r="C650" t="str">
        <f>"106中都建字第185號"</f>
        <v>106中都建字第185號</v>
      </c>
      <c r="D650" t="str">
        <f>"108/11/21"</f>
        <v>108/11/21</v>
      </c>
      <c r="E650" t="str">
        <f>"2019/11/12 上午 12:00:00"</f>
        <v>2019/11/12 上午 12:00:00</v>
      </c>
      <c r="F650" t="str">
        <f>"A1"</f>
        <v>A1</v>
      </c>
    </row>
    <row r="651" spans="1:6" ht="16.5">
      <c r="A651" t="str">
        <f>"TP308140401"</f>
        <v>TP308140401</v>
      </c>
      <c r="B651" t="s">
        <v>69</v>
      </c>
      <c r="C651" t="str">
        <f>"105建字第0288號"</f>
        <v>105建字第0288號</v>
      </c>
      <c r="D651" t="str">
        <f>"108/11/26"</f>
        <v>108/11/26</v>
      </c>
      <c r="E651" t="str">
        <f>"2019/11/12 上午 12:00:00"</f>
        <v>2019/11/12 上午 12:00:00</v>
      </c>
      <c r="F651" t="s">
        <v>10</v>
      </c>
    </row>
    <row r="652" spans="1:6" ht="16.5">
      <c r="A652" t="str">
        <f>"TC208140445"</f>
        <v>TC208140445</v>
      </c>
      <c r="B652" t="str">
        <f>"A1 鄭逸芬店舖.住宅新建工程"</f>
        <v>A1 鄭逸芬店舖.住宅新建工程</v>
      </c>
      <c r="C652" t="str">
        <f>"106中都建字第00569號"</f>
        <v>106中都建字第00569號</v>
      </c>
      <c r="D652" t="str">
        <f>"108/11/17"</f>
        <v>108/11/17</v>
      </c>
      <c r="E652" t="str">
        <f>"2019/11/13 上午 12:00:00"</f>
        <v>2019/11/13 上午 12:00:00</v>
      </c>
      <c r="F652" t="str">
        <f>"A1"</f>
        <v>A1</v>
      </c>
    </row>
    <row r="653" spans="1:6" ht="16.5">
      <c r="A653" t="str">
        <f>"TC208140460"</f>
        <v>TC208140460</v>
      </c>
      <c r="B653" t="str">
        <f>"B1鎰全機械廠股份有限公司工業產品展示新建工程"</f>
        <v>B1鎰全機械廠股份有限公司工業產品展示新建工程</v>
      </c>
      <c r="C653" t="str">
        <f>"104中都建字第02635號"</f>
        <v>104中都建字第02635號</v>
      </c>
      <c r="D653" t="str">
        <f>"108/11/19"</f>
        <v>108/11/19</v>
      </c>
      <c r="E653" t="str">
        <f>"2019/11/13 上午 12:00:00"</f>
        <v>2019/11/13 上午 12:00:00</v>
      </c>
      <c r="F653" t="str">
        <f>"B1"</f>
        <v>B1</v>
      </c>
    </row>
    <row r="654" spans="1:6" ht="16.5">
      <c r="A654" t="str">
        <f>"PT308140540"</f>
        <v>PT308140540</v>
      </c>
      <c r="B654" t="str">
        <f>"蔡邦定  住宅"</f>
        <v>蔡邦定  住宅</v>
      </c>
      <c r="C654" t="str">
        <f>"(106)高市工建築字第01633號"</f>
        <v>(106)高市工建築字第01633號</v>
      </c>
      <c r="D654" t="str">
        <f>"108/11/15"</f>
        <v>108/11/15</v>
      </c>
      <c r="E654" t="str">
        <f>"2019/11/13 上午 12:00:00"</f>
        <v>2019/11/13 上午 12:00:00</v>
      </c>
      <c r="F654" t="str">
        <f>"A1"</f>
        <v>A1</v>
      </c>
    </row>
    <row r="655" spans="1:6" ht="16.5">
      <c r="A655" t="str">
        <f>"TC108140550"</f>
        <v>TC108140550</v>
      </c>
      <c r="B655" t="str">
        <f>"B1李萬結店鋪.住宅新建工程"</f>
        <v>B1李萬結店鋪.住宅新建工程</v>
      </c>
      <c r="C655" t="str">
        <f>"106中都建字第1695號"</f>
        <v>106中都建字第1695號</v>
      </c>
      <c r="D655" t="str">
        <f>"108/11/21"</f>
        <v>108/11/21</v>
      </c>
      <c r="E655" t="str">
        <f>"2019/11/18 上午 12:00:00"</f>
        <v>2019/11/18 上午 12:00:00</v>
      </c>
      <c r="F655" t="str">
        <f>"B1"</f>
        <v>B1</v>
      </c>
    </row>
    <row r="656" spans="1:6" ht="16.5">
      <c r="A656" t="str">
        <f>"ML108140564"</f>
        <v>ML108140564</v>
      </c>
      <c r="B656" t="str">
        <f>"張雅萍農舍新建工程"</f>
        <v>張雅萍農舍新建工程</v>
      </c>
      <c r="C656" t="str">
        <f>"(104)桃市都建執照字第會楊01521號"</f>
        <v>(104)桃市都建執照字第會楊01521號</v>
      </c>
      <c r="D656" t="str">
        <f>"108/11/19"</f>
        <v>108/11/19</v>
      </c>
      <c r="E656" t="str">
        <f>"2019/11/19 上午 12:00:00"</f>
        <v>2019/11/19 上午 12:00:00</v>
      </c>
      <c r="F656" t="str">
        <f>"A1"</f>
        <v>A1</v>
      </c>
    </row>
    <row r="657" spans="1:6" ht="16.5">
      <c r="A657" t="str">
        <f>"ML108140587"</f>
        <v>ML108140587</v>
      </c>
      <c r="B657" t="str">
        <f>"停車場新建工程"</f>
        <v>停車場新建工程</v>
      </c>
      <c r="C657" t="str">
        <f>"106建字第0165號"</f>
        <v>106建字第0165號</v>
      </c>
      <c r="D657" t="str">
        <f>"108/11/15"</f>
        <v>108/11/15</v>
      </c>
      <c r="E657" t="str">
        <f>"2019/11/14 上午 12:00:00"</f>
        <v>2019/11/14 上午 12:00:00</v>
      </c>
      <c r="F657" t="str">
        <f>"D1"</f>
        <v>D1</v>
      </c>
    </row>
    <row r="658" spans="1:6" ht="16.5">
      <c r="A658" t="str">
        <f>"ML108140597"</f>
        <v>ML108140597</v>
      </c>
      <c r="B658" t="str">
        <f>"廣春成建設五股區芳洲段261地號店舖住宅新建工程"</f>
        <v>廣春成建設五股區芳洲段261地號店舖住宅新建工程</v>
      </c>
      <c r="C658" t="str">
        <f>"105股建字第00030號"</f>
        <v>105股建字第00030號</v>
      </c>
      <c r="D658" t="str">
        <f>"108/11/14"</f>
        <v>108/11/14</v>
      </c>
      <c r="E658" t="str">
        <f>"2019/11/14 上午 12:00:00"</f>
        <v>2019/11/14 上午 12:00:00</v>
      </c>
      <c r="F658" t="s">
        <v>10</v>
      </c>
    </row>
    <row r="659" spans="1:6" ht="16.5">
      <c r="A659" t="str">
        <f>"TY108140654"</f>
        <v>TY108140654</v>
      </c>
      <c r="B659" t="str">
        <f>"楊晏菱中壢區雙嶺段住宅新建工程"</f>
        <v>楊晏菱中壢區雙嶺段住宅新建工程</v>
      </c>
      <c r="C659" t="str">
        <f>"(106)桃市都建執照字第會壢00682號"</f>
        <v>(106)桃市都建執照字第會壢00682號</v>
      </c>
      <c r="D659" t="str">
        <f>"108/11/12"</f>
        <v>108/11/12</v>
      </c>
      <c r="E659" t="str">
        <f>"2019/11/12 上午 12:00:00"</f>
        <v>2019/11/12 上午 12:00:00</v>
      </c>
      <c r="F659" t="str">
        <f>"A1"</f>
        <v>A1</v>
      </c>
    </row>
    <row r="660" spans="1:6" ht="16.5">
      <c r="A660" t="str">
        <f>"TC208140810"</f>
        <v>TC208140810</v>
      </c>
      <c r="B660" t="str">
        <f>"A1 詠盛興建設有限公司住宅新建工程"</f>
        <v>A1 詠盛興建設有限公司住宅新建工程</v>
      </c>
      <c r="C660" t="str">
        <f>"104中都建字第01681號"</f>
        <v>104中都建字第01681號</v>
      </c>
      <c r="D660" t="str">
        <f>"108/11/18"</f>
        <v>108/11/18</v>
      </c>
      <c r="E660" t="str">
        <f>"2019/11/14 上午 12:00:00"</f>
        <v>2019/11/14 上午 12:00:00</v>
      </c>
      <c r="F660" t="str">
        <f>"A1"</f>
        <v>A1</v>
      </c>
    </row>
    <row r="661" spans="1:6" ht="16.5">
      <c r="A661" t="str">
        <f>"TC208140947"</f>
        <v>TC208140947</v>
      </c>
      <c r="B661" t="str">
        <f>"B1 沐月行館股份有限公司住宅新建工程"</f>
        <v>B1 沐月行館股份有限公司住宅新建工程</v>
      </c>
      <c r="C661" t="str">
        <f>"(105)府建管(建)字第0281939號 "</f>
        <v>(105)府建管(建)字第0281939號 </v>
      </c>
      <c r="D661" t="str">
        <f>"108/11/18"</f>
        <v>108/11/18</v>
      </c>
      <c r="E661" t="str">
        <f>"2019/11/18 上午 12:00:00"</f>
        <v>2019/11/18 上午 12:00:00</v>
      </c>
      <c r="F661" t="s">
        <v>9</v>
      </c>
    </row>
    <row r="662" spans="1:6" ht="16.5">
      <c r="A662" t="str">
        <f>"TC208140957"</f>
        <v>TC208140957</v>
      </c>
      <c r="B662" t="str">
        <f>"E1台中精機廠股份有限公司精密二期廠房新建工程"</f>
        <v>E1台中精機廠股份有限公司精密二期廠房新建工程</v>
      </c>
      <c r="C662" t="str">
        <f>"104中都建字第01878號"</f>
        <v>104中都建字第01878號</v>
      </c>
      <c r="D662" t="str">
        <f>"108/11/25"</f>
        <v>108/11/25</v>
      </c>
      <c r="E662" t="str">
        <f>"2019/11/14 上午 12:00:00"</f>
        <v>2019/11/14 上午 12:00:00</v>
      </c>
      <c r="F662" t="str">
        <f>"E1"</f>
        <v>E1</v>
      </c>
    </row>
    <row r="663" spans="1:6" ht="16.5">
      <c r="A663" t="str">
        <f>"PT308141032"</f>
        <v>PT308141032</v>
      </c>
      <c r="B663" t="str">
        <f>"國泰建設  前金區前金段393地號等5筆"</f>
        <v>國泰建設  前金區前金段393地號等5筆</v>
      </c>
      <c r="C663" t="str">
        <f>"(97)高市工建築字第00726-02"</f>
        <v>(97)高市工建築字第00726-02</v>
      </c>
      <c r="D663" t="str">
        <f>"108/11/15"</f>
        <v>108/11/15</v>
      </c>
      <c r="E663" t="str">
        <f>"2019/11/13 上午 12:00:00"</f>
        <v>2019/11/13 上午 12:00:00</v>
      </c>
      <c r="F663" t="str">
        <f>"E1"</f>
        <v>E1</v>
      </c>
    </row>
    <row r="664" spans="1:6" ht="16.5">
      <c r="A664" t="str">
        <f>"TC208141122"</f>
        <v>TC208141122</v>
      </c>
      <c r="B664" t="str">
        <f>"C1 吳政軒廠房新建工程"</f>
        <v>C1 吳政軒廠房新建工程</v>
      </c>
      <c r="C664" t="str">
        <f>"106股建字第00236號"</f>
        <v>106股建字第00236號</v>
      </c>
      <c r="D664" t="str">
        <f>"108/11/17"</f>
        <v>108/11/17</v>
      </c>
      <c r="E664" t="str">
        <f>"2019/11/13 上午 12:00:00"</f>
        <v>2019/11/13 上午 12:00:00</v>
      </c>
      <c r="F664" t="s">
        <v>6</v>
      </c>
    </row>
    <row r="665" spans="1:6" ht="16.5">
      <c r="A665" t="str">
        <f>"TC208141355"</f>
        <v>TC208141355</v>
      </c>
      <c r="B665" t="s">
        <v>70</v>
      </c>
      <c r="C665" t="str">
        <f>"(106)基府都建字第00026號"</f>
        <v>(106)基府都建字第00026號</v>
      </c>
      <c r="D665" t="str">
        <f>"108/11/18"</f>
        <v>108/11/18</v>
      </c>
      <c r="E665" t="str">
        <f>"2019/11/13 上午 12:00:00"</f>
        <v>2019/11/13 上午 12:00:00</v>
      </c>
      <c r="F665" t="s">
        <v>6</v>
      </c>
    </row>
    <row r="666" spans="1:6" ht="16.5">
      <c r="A666" t="str">
        <f>"TC208141597"</f>
        <v>TC208141597</v>
      </c>
      <c r="B666" t="s">
        <v>71</v>
      </c>
      <c r="C666" t="str">
        <f>"104建字第0165號"</f>
        <v>104建字第0165號</v>
      </c>
      <c r="D666" t="str">
        <f>"108/11/18"</f>
        <v>108/11/18</v>
      </c>
      <c r="E666" t="str">
        <f>"2019/11/15 上午 12:00:00"</f>
        <v>2019/11/15 上午 12:00:00</v>
      </c>
      <c r="F666" t="s">
        <v>6</v>
      </c>
    </row>
    <row r="667" spans="1:6" ht="16.5">
      <c r="A667" t="str">
        <f>"CY108141630"</f>
        <v>CY108141630</v>
      </c>
      <c r="B667" t="str">
        <f>"C1-聖宏資產開發24戶集合住宅新建工程"</f>
        <v>C1-聖宏資產開發24戶集合住宅新建工程</v>
      </c>
      <c r="C667" t="str">
        <f>"106雲營建字第638號"</f>
        <v>106雲營建字第638號</v>
      </c>
      <c r="D667" t="str">
        <f>"108/11/18"</f>
        <v>108/11/18</v>
      </c>
      <c r="E667" t="str">
        <f>"2019/11/14 上午 12:00:00"</f>
        <v>2019/11/14 上午 12:00:00</v>
      </c>
      <c r="F667" t="s">
        <v>6</v>
      </c>
    </row>
    <row r="668" spans="1:6" ht="16.5">
      <c r="A668" t="str">
        <f>"TP308141640"</f>
        <v>TP308141640</v>
      </c>
      <c r="B668" t="str">
        <f>"名軒開發新莊副都心段一小段294等一筆地號新建工程"</f>
        <v>名軒開發新莊副都心段一小段294等一筆地號新建工程</v>
      </c>
      <c r="C668" t="str">
        <f>"103莊建字第00244號(第一次變更設計)"</f>
        <v>103莊建字第00244號(第一次變更設計)</v>
      </c>
      <c r="D668" t="str">
        <f>"108/11/21"</f>
        <v>108/11/21</v>
      </c>
      <c r="E668" t="str">
        <f>"2019/11/18 上午 12:00:00"</f>
        <v>2019/11/18 上午 12:00:00</v>
      </c>
      <c r="F668" t="str">
        <f>"D3"</f>
        <v>D3</v>
      </c>
    </row>
    <row r="669" spans="1:6" ht="16.5">
      <c r="A669" t="str">
        <f>"ML108141669"</f>
        <v>ML108141669</v>
      </c>
      <c r="B669" t="str">
        <f>"彭宣璟 永興段252-1地號 集合住宅新建工程"</f>
        <v>彭宣璟 永興段252-1地號 集合住宅新建工程</v>
      </c>
      <c r="C669" t="str">
        <f>"(106)府建字第00271號"</f>
        <v>(106)府建字第00271號</v>
      </c>
      <c r="D669" t="str">
        <f>"108/11/22"</f>
        <v>108/11/22</v>
      </c>
      <c r="E669" t="str">
        <f>"2019/11/22 上午 12:00:00"</f>
        <v>2019/11/22 上午 12:00:00</v>
      </c>
      <c r="F669" t="s">
        <v>30</v>
      </c>
    </row>
    <row r="670" spans="1:6" ht="16.5">
      <c r="A670" t="str">
        <f>"TY108141759"</f>
        <v>TY108141759</v>
      </c>
      <c r="B670" t="str">
        <f>"徐歷鋐新建三層農舍"</f>
        <v>徐歷鋐新建三層農舍</v>
      </c>
      <c r="C670" t="str">
        <f>"(106)桃市都建執照字第會壢00417號"</f>
        <v>(106)桃市都建執照字第會壢00417號</v>
      </c>
      <c r="D670" t="str">
        <f>"108/11/14"</f>
        <v>108/11/14</v>
      </c>
      <c r="E670" t="str">
        <f>"2019/11/14 上午 12:00:00"</f>
        <v>2019/11/14 上午 12:00:00</v>
      </c>
      <c r="F670" t="str">
        <f aca="true" t="shared" si="13" ref="F670:F680">"A1"</f>
        <v>A1</v>
      </c>
    </row>
    <row r="671" spans="1:6" ht="16.5">
      <c r="A671" t="str">
        <f>"AA008141773"</f>
        <v>AA008141773</v>
      </c>
      <c r="B671" t="str">
        <f>"黃文士-住宅新建工程"</f>
        <v>黃文士-住宅新建工程</v>
      </c>
      <c r="C671" t="str">
        <f>"(106)(雲)營建字第00582號"</f>
        <v>(106)(雲)營建字第00582號</v>
      </c>
      <c r="D671" t="str">
        <f>"108/11/24"</f>
        <v>108/11/24</v>
      </c>
      <c r="E671" t="str">
        <f>"2019/11/21 上午 12:00:00"</f>
        <v>2019/11/21 上午 12:00:00</v>
      </c>
      <c r="F671" t="str">
        <f t="shared" si="13"/>
        <v>A1</v>
      </c>
    </row>
    <row r="672" spans="1:6" ht="16.5">
      <c r="A672" t="str">
        <f>"TC208142090"</f>
        <v>TC208142090</v>
      </c>
      <c r="B672" t="str">
        <f>"A1x2 黃昌展等住宅新建工程"</f>
        <v>A1x2 黃昌展等住宅新建工程</v>
      </c>
      <c r="C672" t="s">
        <v>72</v>
      </c>
      <c r="D672" t="str">
        <f>"108/11/19"</f>
        <v>108/11/19</v>
      </c>
      <c r="E672" t="str">
        <f aca="true" t="shared" si="14" ref="E672:E680">"2019/11/18 上午 12:00:00"</f>
        <v>2019/11/18 上午 12:00:00</v>
      </c>
      <c r="F672" t="str">
        <f t="shared" si="13"/>
        <v>A1</v>
      </c>
    </row>
    <row r="673" spans="1:6" ht="16.5">
      <c r="A673" t="str">
        <f>"TC208142630"</f>
        <v>TC208142630</v>
      </c>
      <c r="B673" t="str">
        <f>"A1 劉德聖住宅新建工程"</f>
        <v>A1 劉德聖住宅新建工程</v>
      </c>
      <c r="C673" t="str">
        <f>"104中都建字第02759號"</f>
        <v>104中都建字第02759號</v>
      </c>
      <c r="D673" t="str">
        <f>"108/11/25"</f>
        <v>108/11/25</v>
      </c>
      <c r="E673" t="str">
        <f t="shared" si="14"/>
        <v>2019/11/18 上午 12:00:00</v>
      </c>
      <c r="F673" t="str">
        <f t="shared" si="13"/>
        <v>A1</v>
      </c>
    </row>
    <row r="674" spans="1:6" ht="16.5">
      <c r="A674" t="str">
        <f>"TC208142640"</f>
        <v>TC208142640</v>
      </c>
      <c r="B674" t="str">
        <f>"A1 劉軒誌住宅新建工程"</f>
        <v>A1 劉軒誌住宅新建工程</v>
      </c>
      <c r="C674" t="str">
        <f>"105中都建字第00440號"</f>
        <v>105中都建字第00440號</v>
      </c>
      <c r="D674" t="str">
        <f>"108/11/25"</f>
        <v>108/11/25</v>
      </c>
      <c r="E674" t="str">
        <f t="shared" si="14"/>
        <v>2019/11/18 上午 12:00:00</v>
      </c>
      <c r="F674" t="str">
        <f t="shared" si="13"/>
        <v>A1</v>
      </c>
    </row>
    <row r="675" spans="1:6" ht="16.5">
      <c r="A675" t="str">
        <f>"TC208142654"</f>
        <v>TC208142654</v>
      </c>
      <c r="B675" t="str">
        <f>"A1 王瑞潭住宅新建工程"</f>
        <v>A1 王瑞潭住宅新建工程</v>
      </c>
      <c r="C675" t="str">
        <f>"104中都建字第02218號"</f>
        <v>104中都建字第02218號</v>
      </c>
      <c r="D675" t="str">
        <f>"108/11/18"</f>
        <v>108/11/18</v>
      </c>
      <c r="E675" t="str">
        <f t="shared" si="14"/>
        <v>2019/11/18 上午 12:00:00</v>
      </c>
      <c r="F675" t="str">
        <f t="shared" si="13"/>
        <v>A1</v>
      </c>
    </row>
    <row r="676" spans="1:6" ht="16.5">
      <c r="A676" t="str">
        <f>"TC208142669"</f>
        <v>TC208142669</v>
      </c>
      <c r="B676" t="str">
        <f>"A1 劉玲美住宅新建工程"</f>
        <v>A1 劉玲美住宅新建工程</v>
      </c>
      <c r="C676" t="str">
        <f>"104中都建字第00594號"</f>
        <v>104中都建字第00594號</v>
      </c>
      <c r="D676" t="str">
        <f>"108/11/21"</f>
        <v>108/11/21</v>
      </c>
      <c r="E676" t="str">
        <f t="shared" si="14"/>
        <v>2019/11/18 上午 12:00:00</v>
      </c>
      <c r="F676" t="str">
        <f t="shared" si="13"/>
        <v>A1</v>
      </c>
    </row>
    <row r="677" spans="1:6" ht="16.5">
      <c r="A677" t="str">
        <f>"TC208142687"</f>
        <v>TC208142687</v>
      </c>
      <c r="B677" t="str">
        <f>"A1 林景豐等住宅新建工程"</f>
        <v>A1 林景豐等住宅新建工程</v>
      </c>
      <c r="C677" t="str">
        <f>"105中都建字第00604號"</f>
        <v>105中都建字第00604號</v>
      </c>
      <c r="D677" t="str">
        <f>"108/11/25"</f>
        <v>108/11/25</v>
      </c>
      <c r="E677" t="str">
        <f t="shared" si="14"/>
        <v>2019/11/18 上午 12:00:00</v>
      </c>
      <c r="F677" t="str">
        <f t="shared" si="13"/>
        <v>A1</v>
      </c>
    </row>
    <row r="678" spans="1:6" ht="16.5">
      <c r="A678" t="str">
        <f>"TC208142698"</f>
        <v>TC208142698</v>
      </c>
      <c r="B678" t="str">
        <f>"A1 林文貴住宅新建工程"</f>
        <v>A1 林文貴住宅新建工程</v>
      </c>
      <c r="C678" t="str">
        <f>"105中都建字第00692號"</f>
        <v>105中都建字第00692號</v>
      </c>
      <c r="D678" t="str">
        <f>"108/11/25"</f>
        <v>108/11/25</v>
      </c>
      <c r="E678" t="str">
        <f t="shared" si="14"/>
        <v>2019/11/18 上午 12:00:00</v>
      </c>
      <c r="F678" t="str">
        <f t="shared" si="13"/>
        <v>A1</v>
      </c>
    </row>
    <row r="679" spans="1:6" ht="16.5">
      <c r="A679" t="str">
        <f>"TC208142706"</f>
        <v>TC208142706</v>
      </c>
      <c r="B679" t="str">
        <f>"A1 林怡菁住宅新建工程"</f>
        <v>A1 林怡菁住宅新建工程</v>
      </c>
      <c r="C679" t="str">
        <f>"105中都建字第00685號"</f>
        <v>105中都建字第00685號</v>
      </c>
      <c r="D679" t="str">
        <f>"108/11/25"</f>
        <v>108/11/25</v>
      </c>
      <c r="E679" t="str">
        <f t="shared" si="14"/>
        <v>2019/11/18 上午 12:00:00</v>
      </c>
      <c r="F679" t="str">
        <f t="shared" si="13"/>
        <v>A1</v>
      </c>
    </row>
    <row r="680" spans="1:6" ht="16.5">
      <c r="A680" t="str">
        <f>"TC208142720"</f>
        <v>TC208142720</v>
      </c>
      <c r="B680" t="str">
        <f>"A1 莊貽喻住宅新建工程"</f>
        <v>A1 莊貽喻住宅新建工程</v>
      </c>
      <c r="C680" t="str">
        <f>"106中都建字第01087號"</f>
        <v>106中都建字第01087號</v>
      </c>
      <c r="D680" t="str">
        <f>"108/11/19"</f>
        <v>108/11/19</v>
      </c>
      <c r="E680" t="str">
        <f t="shared" si="14"/>
        <v>2019/11/18 上午 12:00:00</v>
      </c>
      <c r="F680" t="str">
        <f t="shared" si="13"/>
        <v>A1</v>
      </c>
    </row>
    <row r="681" spans="1:6" ht="16.5">
      <c r="A681" t="str">
        <f>"TN108143026"</f>
        <v>TN108143026</v>
      </c>
      <c r="B681" t="str">
        <f>"臺南市中國城廣場改建工程"</f>
        <v>臺南市中國城廣場改建工程</v>
      </c>
      <c r="C681" t="str">
        <f>"(106)南工造字第01454號"</f>
        <v>(106)南工造字第01454號</v>
      </c>
      <c r="D681" t="str">
        <f>"108/11/21"</f>
        <v>108/11/21</v>
      </c>
      <c r="E681" t="str">
        <f>"2019/11/19 上午 12:00:00"</f>
        <v>2019/11/19 上午 12:00:00</v>
      </c>
      <c r="F681" t="s">
        <v>6</v>
      </c>
    </row>
    <row r="682" spans="1:6" ht="16.5">
      <c r="A682" t="str">
        <f>"TY108143032"</f>
        <v>TY108143032</v>
      </c>
      <c r="B682" t="str">
        <f>"高雄市立圖書館總館共構會展文創會館新建工程"</f>
        <v>高雄市立圖書館總館共構會展文創會館新建工程</v>
      </c>
      <c r="C682" t="str">
        <f>"(106)高市工建築字第00592號"</f>
        <v>(106)高市工建築字第00592號</v>
      </c>
      <c r="D682" t="str">
        <f>"108/11/25"</f>
        <v>108/11/25</v>
      </c>
      <c r="E682" t="str">
        <f>"2019/11/18 上午 12:00:00"</f>
        <v>2019/11/18 上午 12:00:00</v>
      </c>
      <c r="F682" t="s">
        <v>10</v>
      </c>
    </row>
    <row r="683" spans="1:6" ht="16.5">
      <c r="A683" t="str">
        <f>"TY108143065"</f>
        <v>TY108143065</v>
      </c>
      <c r="B683" t="str">
        <f>"陳嘉翰店鋪，住宅新建工程"</f>
        <v>陳嘉翰店鋪，住宅新建工程</v>
      </c>
      <c r="C683" t="str">
        <f>"(104)桃市都建執照字第會德01201號"</f>
        <v>(104)桃市都建執照字第會德01201號</v>
      </c>
      <c r="D683" t="str">
        <f>"108/11/18"</f>
        <v>108/11/18</v>
      </c>
      <c r="E683" t="str">
        <f>"2019/11/18 上午 12:00:00"</f>
        <v>2019/11/18 上午 12:00:00</v>
      </c>
      <c r="F683" t="str">
        <f>"A1"</f>
        <v>A1</v>
      </c>
    </row>
    <row r="684" spans="1:6" ht="16.5">
      <c r="A684" t="str">
        <f>"KH408143175"</f>
        <v>KH408143175</v>
      </c>
      <c r="B684" t="str">
        <f>"左營區福山段三戶住宅新建工程"</f>
        <v>左營區福山段三戶住宅新建工程</v>
      </c>
      <c r="C684" t="str">
        <f>"(105)高市工建築字第00395~00397號"</f>
        <v>(105)高市工建築字第00395~00397號</v>
      </c>
      <c r="D684" t="str">
        <f>"108/11/19"</f>
        <v>108/11/19</v>
      </c>
      <c r="E684" t="str">
        <f>"2019/11/19 上午 12:00:00"</f>
        <v>2019/11/19 上午 12:00:00</v>
      </c>
      <c r="F684" t="str">
        <f>"A1"</f>
        <v>A1</v>
      </c>
    </row>
    <row r="685" spans="1:6" ht="16.5">
      <c r="A685" t="str">
        <f>"TN208143190"</f>
        <v>TN208143190</v>
      </c>
      <c r="B685" t="str">
        <f>"世林機械廠房"</f>
        <v>世林機械廠房</v>
      </c>
      <c r="C685" t="str">
        <f>"(106)南工造字第02577號"</f>
        <v>(106)南工造字第02577號</v>
      </c>
      <c r="D685" t="str">
        <f>"108/11/18"</f>
        <v>108/11/18</v>
      </c>
      <c r="E685" t="str">
        <f>"2019/11/18 上午 12:00:00"</f>
        <v>2019/11/18 上午 12:00:00</v>
      </c>
      <c r="F685" t="str">
        <f>"C1"</f>
        <v>C1</v>
      </c>
    </row>
    <row r="686" spans="1:6" ht="16.5">
      <c r="A686" t="str">
        <f>"TC208143640"</f>
        <v>TC208143640</v>
      </c>
      <c r="B686" t="str">
        <f>"A1 吳嘉銘住宅新建工程"</f>
        <v>A1 吳嘉銘住宅新建工程</v>
      </c>
      <c r="C686" t="str">
        <f>"(105)府建管(建)字第0156471號"</f>
        <v>(105)府建管(建)字第0156471號</v>
      </c>
      <c r="D686" t="str">
        <f>"108/11/19"</f>
        <v>108/11/19</v>
      </c>
      <c r="E686" t="str">
        <f>"2019/11/19 上午 12:00:00"</f>
        <v>2019/11/19 上午 12:00:00</v>
      </c>
      <c r="F686" t="str">
        <f>"A1"</f>
        <v>A1</v>
      </c>
    </row>
    <row r="687" spans="1:6" ht="16.5">
      <c r="A687" t="str">
        <f>"TY108143654"</f>
        <v>TY108143654</v>
      </c>
      <c r="B687" t="str">
        <f>"振翔建設楊梅區金龍段14地號集合住宅新建工程"</f>
        <v>振翔建設楊梅區金龍段14地號集合住宅新建工程</v>
      </c>
      <c r="C687" t="str">
        <f>"(105)桃市都建執照字第會楊00238號"</f>
        <v>(105)桃市都建執照字第會楊00238號</v>
      </c>
      <c r="D687" t="str">
        <f>"108/11/26"</f>
        <v>108/11/26</v>
      </c>
      <c r="E687" t="str">
        <f>"2019/11/19 上午 12:00:00"</f>
        <v>2019/11/19 上午 12:00:00</v>
      </c>
      <c r="F687" t="str">
        <f>"E1"</f>
        <v>E1</v>
      </c>
    </row>
    <row r="688" spans="1:6" ht="16.5">
      <c r="A688" t="str">
        <f>"HC108143767"</f>
        <v>HC108143767</v>
      </c>
      <c r="B688" t="str">
        <f>"黃萬裕住宅新建工程"</f>
        <v>黃萬裕住宅新建工程</v>
      </c>
      <c r="C688" t="str">
        <f>"(105)府工建字 第00131號"</f>
        <v>(105)府工建字 第00131號</v>
      </c>
      <c r="D688" t="str">
        <f>"108/11/25"</f>
        <v>108/11/25</v>
      </c>
      <c r="E688" t="str">
        <f>"2019/11/20 上午 12:00:00"</f>
        <v>2019/11/20 上午 12:00:00</v>
      </c>
      <c r="F688" t="str">
        <f>"B1"</f>
        <v>B1</v>
      </c>
    </row>
    <row r="689" spans="1:6" ht="16.5">
      <c r="A689" t="str">
        <f>"HC108143777"</f>
        <v>HC108143777</v>
      </c>
      <c r="B689" t="str">
        <f>"張竹凱等三戶集合住宅新建工程"</f>
        <v>張竹凱等三戶集合住宅新建工程</v>
      </c>
      <c r="C689" t="str">
        <f>"(106)桃市都建執照字第會楊00222號"</f>
        <v>(106)桃市都建執照字第會楊00222號</v>
      </c>
      <c r="D689" t="str">
        <f>"108/11/25"</f>
        <v>108/11/25</v>
      </c>
      <c r="E689" t="str">
        <f>"2019/11/20 上午 12:00:00"</f>
        <v>2019/11/20 上午 12:00:00</v>
      </c>
      <c r="F689" t="s">
        <v>9</v>
      </c>
    </row>
    <row r="690" spans="1:6" ht="16.5">
      <c r="A690" t="str">
        <f>"TP608143939"</f>
        <v>TP608143939</v>
      </c>
      <c r="B690" t="str">
        <f>"台北市士林福林段盛先生住宅新建工程"</f>
        <v>台北市士林福林段盛先生住宅新建工程</v>
      </c>
      <c r="C690" t="str">
        <f>"104建字第0259號"</f>
        <v>104建字第0259號</v>
      </c>
      <c r="D690" t="str">
        <f>"108/11/20"</f>
        <v>108/11/20</v>
      </c>
      <c r="E690" t="str">
        <f>"2019/11/20 上午 12:00:00"</f>
        <v>2019/11/20 上午 12:00:00</v>
      </c>
      <c r="F690" t="str">
        <f>"A1"</f>
        <v>A1</v>
      </c>
    </row>
    <row r="691" spans="1:6" ht="16.5">
      <c r="A691" t="str">
        <f>"TC108144155"</f>
        <v>TC108144155</v>
      </c>
      <c r="B691" t="str">
        <f>"E1誠石建設股份有限公司店鋪.集合住宅新建工程"</f>
        <v>E1誠石建設股份有限公司店鋪.集合住宅新建工程</v>
      </c>
      <c r="C691" t="str">
        <f>"106中都建字第1100號"</f>
        <v>106中都建字第1100號</v>
      </c>
      <c r="D691" t="str">
        <f>"108/11/26"</f>
        <v>108/11/26</v>
      </c>
      <c r="E691" t="str">
        <f>"2019/11/21 上午 12:00:00"</f>
        <v>2019/11/21 上午 12:00:00</v>
      </c>
      <c r="F691" t="s">
        <v>10</v>
      </c>
    </row>
    <row r="692" spans="1:6" ht="16.5">
      <c r="A692" t="str">
        <f>"YL108144302"</f>
        <v>YL108144302</v>
      </c>
      <c r="B692" t="str">
        <f>"B1-誼榕建設麥寮橋頭住宅新建工程"</f>
        <v>B1-誼榕建設麥寮橋頭住宅新建工程</v>
      </c>
      <c r="C692" t="str">
        <f>"(107)(麥)營建字第78號"</f>
        <v>(107)(麥)營建字第78號</v>
      </c>
      <c r="D692" t="str">
        <f>"108/11/28"</f>
        <v>108/11/28</v>
      </c>
      <c r="E692" t="str">
        <f>"2019/11/22 上午 12:00:00"</f>
        <v>2019/11/22 上午 12:00:00</v>
      </c>
      <c r="F692" t="str">
        <f>"B1"</f>
        <v>B1</v>
      </c>
    </row>
    <row r="693" spans="1:6" ht="16.5">
      <c r="A693" t="str">
        <f>"TC208144425"</f>
        <v>TC208144425</v>
      </c>
      <c r="B693" t="str">
        <f>"A1x2 陳昭圻.陳懋億等2戶住宅新建工程"</f>
        <v>A1x2 陳昭圻.陳懋億等2戶住宅新建工程</v>
      </c>
      <c r="C693" t="s">
        <v>73</v>
      </c>
      <c r="D693" t="str">
        <f>"108/11/25"</f>
        <v>108/11/25</v>
      </c>
      <c r="E693" t="str">
        <f>"2019/11/21 上午 12:00:00"</f>
        <v>2019/11/21 上午 12:00:00</v>
      </c>
      <c r="F693" t="str">
        <f>"A1"</f>
        <v>A1</v>
      </c>
    </row>
    <row r="694" spans="1:6" ht="16.5">
      <c r="A694" t="str">
        <f>"TC208144460"</f>
        <v>TC208144460</v>
      </c>
      <c r="B694" t="str">
        <f>"A1x2 瑋誠資產管理股份有限公司住宅新建工程"</f>
        <v>A1x2 瑋誠資產管理股份有限公司住宅新建工程</v>
      </c>
      <c r="C694" t="s">
        <v>74</v>
      </c>
      <c r="D694" t="str">
        <f>"108/11/25"</f>
        <v>108/11/25</v>
      </c>
      <c r="E694" t="str">
        <f>"2019/11/21 上午 12:00:00"</f>
        <v>2019/11/21 上午 12:00:00</v>
      </c>
      <c r="F694" t="str">
        <f>"A1"</f>
        <v>A1</v>
      </c>
    </row>
    <row r="695" spans="1:6" ht="16.5">
      <c r="A695" t="str">
        <f>"TC208144489"</f>
        <v>TC208144489</v>
      </c>
      <c r="B695" t="str">
        <f>"A1x4盛裕建設股份有限公司(D區)住宅新建工程"</f>
        <v>A1x4盛裕建設股份有限公司(D區)住宅新建工程</v>
      </c>
      <c r="C695" t="str">
        <f>"103中都建字第00271~00274號"</f>
        <v>103中都建字第00271~00274號</v>
      </c>
      <c r="D695" t="str">
        <f>"108/11/25"</f>
        <v>108/11/25</v>
      </c>
      <c r="E695" t="str">
        <f>"2019/11/21 上午 12:00:00"</f>
        <v>2019/11/21 上午 12:00:00</v>
      </c>
      <c r="F695" t="str">
        <f>"A1"</f>
        <v>A1</v>
      </c>
    </row>
    <row r="696" spans="1:6" ht="16.5">
      <c r="A696" t="str">
        <f>"TC108144677"</f>
        <v>TC108144677</v>
      </c>
      <c r="B696" t="str">
        <f>"E1仁愛醫療財團法人泉生醫療大樓新建工程"</f>
        <v>E1仁愛醫療財團法人泉生醫療大樓新建工程</v>
      </c>
      <c r="C696" t="str">
        <f>"105中都建字第1954號"</f>
        <v>105中都建字第1954號</v>
      </c>
      <c r="D696" t="str">
        <f>"108/11/25"</f>
        <v>108/11/25</v>
      </c>
      <c r="E696" t="str">
        <f>"2019/11/22 上午 12:00:00"</f>
        <v>2019/11/22 上午 12:00:00</v>
      </c>
      <c r="F696" t="s">
        <v>10</v>
      </c>
    </row>
    <row r="697" spans="1:6" ht="16.5">
      <c r="A697" t="str">
        <f>"TC208145041"</f>
        <v>TC208145041</v>
      </c>
      <c r="B697" t="str">
        <f>"C1立帷實業有限公司廠房住宅新建工程"</f>
        <v>C1立帷實業有限公司廠房住宅新建工程</v>
      </c>
      <c r="C697" t="str">
        <f>"106中都建字第00583號"</f>
        <v>106中都建字第00583號</v>
      </c>
      <c r="D697" t="str">
        <f>"108/11/26"</f>
        <v>108/11/26</v>
      </c>
      <c r="E697" t="str">
        <f>"2019/11/22 上午 12:00:00"</f>
        <v>2019/11/22 上午 12:00:00</v>
      </c>
      <c r="F697" t="str">
        <f>"C1"</f>
        <v>C1</v>
      </c>
    </row>
    <row r="698" spans="1:6" ht="16.5">
      <c r="A698" t="str">
        <f>"TC208145166"</f>
        <v>TC208145166</v>
      </c>
      <c r="B698" t="str">
        <f>"C1 松享實業股份有限公司廠房.辦公室新建工程"</f>
        <v>C1 松享實業股份有限公司廠房.辦公室新建工程</v>
      </c>
      <c r="C698" t="str">
        <f>"106中都建字第00748號"</f>
        <v>106中都建字第00748號</v>
      </c>
      <c r="D698" t="str">
        <f>"108/11/30"</f>
        <v>108/11/30</v>
      </c>
      <c r="E698" t="str">
        <f>"2019/11/26 上午 12:00:00"</f>
        <v>2019/11/26 上午 12:00:00</v>
      </c>
      <c r="F698" t="str">
        <f>"C1"</f>
        <v>C1</v>
      </c>
    </row>
    <row r="699" spans="1:6" ht="16.5">
      <c r="A699" t="str">
        <f>"TC208145175"</f>
        <v>TC208145175</v>
      </c>
      <c r="B699" t="str">
        <f>"A1x2 潘麗霞.王玉琴二戶店舖.住宅新建工程"</f>
        <v>A1x2 潘麗霞.王玉琴二戶店舖.住宅新建工程</v>
      </c>
      <c r="C699" t="s">
        <v>75</v>
      </c>
      <c r="D699" t="str">
        <f>"108/11/28"</f>
        <v>108/11/28</v>
      </c>
      <c r="E699" t="str">
        <f aca="true" t="shared" si="15" ref="E699:E705">"2019/11/22 上午 12:00:00"</f>
        <v>2019/11/22 上午 12:00:00</v>
      </c>
      <c r="F699" t="str">
        <f aca="true" t="shared" si="16" ref="F699:F705">"A1"</f>
        <v>A1</v>
      </c>
    </row>
    <row r="700" spans="1:6" ht="16.5">
      <c r="A700" t="str">
        <f>"TC208145180"</f>
        <v>TC208145180</v>
      </c>
      <c r="B700" t="str">
        <f>"A1 王騰皜住宅新建工程"</f>
        <v>A1 王騰皜住宅新建工程</v>
      </c>
      <c r="C700" t="str">
        <f>"(105)府建管(建)字第0248236號"</f>
        <v>(105)府建管(建)字第0248236號</v>
      </c>
      <c r="D700" t="str">
        <f>"108/11/28"</f>
        <v>108/11/28</v>
      </c>
      <c r="E700" t="str">
        <f t="shared" si="15"/>
        <v>2019/11/22 上午 12:00:00</v>
      </c>
      <c r="F700" t="str">
        <f t="shared" si="16"/>
        <v>A1</v>
      </c>
    </row>
    <row r="701" spans="1:6" ht="16.5">
      <c r="A701" t="str">
        <f>"TN208145346"</f>
        <v>TN208145346</v>
      </c>
      <c r="B701" t="str">
        <f>"李郡彬4X1戶住宅新建工程"</f>
        <v>李郡彬4X1戶住宅新建工程</v>
      </c>
      <c r="C701" t="str">
        <f>"(106)南工造字第01789號"</f>
        <v>(106)南工造字第01789號</v>
      </c>
      <c r="D701" t="str">
        <f>"108/11/24"</f>
        <v>108/11/24</v>
      </c>
      <c r="E701" t="str">
        <f t="shared" si="15"/>
        <v>2019/11/22 上午 12:00:00</v>
      </c>
      <c r="F701" t="str">
        <f t="shared" si="16"/>
        <v>A1</v>
      </c>
    </row>
    <row r="702" spans="1:6" ht="16.5">
      <c r="A702" t="str">
        <f>"TY108145384"</f>
        <v>TY108145384</v>
      </c>
      <c r="B702" t="str">
        <f>"周淑芸等四人住宅新建工程"</f>
        <v>周淑芸等四人住宅新建工程</v>
      </c>
      <c r="C702" t="str">
        <f>"(106)桃市都建執照字第會溪00141號"</f>
        <v>(106)桃市都建執照字第會溪00141號</v>
      </c>
      <c r="D702" t="str">
        <f>"108/11/25"</f>
        <v>108/11/25</v>
      </c>
      <c r="E702" t="str">
        <f t="shared" si="15"/>
        <v>2019/11/22 上午 12:00:00</v>
      </c>
      <c r="F702" t="str">
        <f t="shared" si="16"/>
        <v>A1</v>
      </c>
    </row>
    <row r="703" spans="1:6" ht="16.5">
      <c r="A703" t="str">
        <f>"TY108145399"</f>
        <v>TY108145399</v>
      </c>
      <c r="B703" t="str">
        <f>"張展彬店鋪住宅新建工程"</f>
        <v>張展彬店鋪住宅新建工程</v>
      </c>
      <c r="C703" t="str">
        <f>"(106)桃市都建執照字第會龍00237號"</f>
        <v>(106)桃市都建執照字第會龍00237號</v>
      </c>
      <c r="D703" t="str">
        <f>"108/11/27"</f>
        <v>108/11/27</v>
      </c>
      <c r="E703" t="str">
        <f t="shared" si="15"/>
        <v>2019/11/22 上午 12:00:00</v>
      </c>
      <c r="F703" t="str">
        <f t="shared" si="16"/>
        <v>A1</v>
      </c>
    </row>
    <row r="704" spans="1:6" ht="16.5">
      <c r="A704" t="str">
        <f>"TY108145401"</f>
        <v>TY108145401</v>
      </c>
      <c r="B704" t="str">
        <f>"張展秀店鋪住宅新建工程"</f>
        <v>張展秀店鋪住宅新建工程</v>
      </c>
      <c r="C704" t="str">
        <f>"(106)桃市都建執照字第會龍00236號"</f>
        <v>(106)桃市都建執照字第會龍00236號</v>
      </c>
      <c r="D704" t="str">
        <f>"108/11/27"</f>
        <v>108/11/27</v>
      </c>
      <c r="E704" t="str">
        <f t="shared" si="15"/>
        <v>2019/11/22 上午 12:00:00</v>
      </c>
      <c r="F704" t="str">
        <f t="shared" si="16"/>
        <v>A1</v>
      </c>
    </row>
    <row r="705" spans="1:6" ht="16.5">
      <c r="A705" t="str">
        <f>"TY108145418"</f>
        <v>TY108145418</v>
      </c>
      <c r="B705" t="str">
        <f>"張展炳店鋪住宅新建工程"</f>
        <v>張展炳店鋪住宅新建工程</v>
      </c>
      <c r="C705" t="str">
        <f>"(106)桃市都建執照字第會龍00238號"</f>
        <v>(106)桃市都建執照字第會龍00238號</v>
      </c>
      <c r="D705" t="str">
        <f>"108/11/27"</f>
        <v>108/11/27</v>
      </c>
      <c r="E705" t="str">
        <f t="shared" si="15"/>
        <v>2019/11/22 上午 12:00:00</v>
      </c>
      <c r="F705" t="str">
        <f t="shared" si="16"/>
        <v>A1</v>
      </c>
    </row>
    <row r="706" spans="1:6" ht="16.5">
      <c r="A706" t="str">
        <f>"TP608145460"</f>
        <v>TP608145460</v>
      </c>
      <c r="B706" t="str">
        <f>"三多立建設蘆洲區民生段集合住宅新建工程"</f>
        <v>三多立建設蘆洲區民生段集合住宅新建工程</v>
      </c>
      <c r="C706" t="str">
        <f>"103蘆建字第00628號"</f>
        <v>103蘆建字第00628號</v>
      </c>
      <c r="D706" t="str">
        <f>"108/11/28"</f>
        <v>108/11/28</v>
      </c>
      <c r="E706" t="str">
        <f>"2019/11/25 上午 12:00:00"</f>
        <v>2019/11/25 上午 12:00:00</v>
      </c>
      <c r="F706" t="s">
        <v>19</v>
      </c>
    </row>
    <row r="707" spans="1:6" ht="16.5">
      <c r="A707" t="str">
        <f>"TP608145489"</f>
        <v>TP608145489</v>
      </c>
      <c r="B707" t="str">
        <f>"新北市淡水區大義段537地號共1筆"</f>
        <v>新北市淡水區大義段537地號共1筆</v>
      </c>
      <c r="C707" t="str">
        <f>"104淡建字第00299號"</f>
        <v>104淡建字第00299號</v>
      </c>
      <c r="D707" t="str">
        <f>"108/11/28"</f>
        <v>108/11/28</v>
      </c>
      <c r="E707" t="str">
        <f>"2019/11/23 上午 12:00:00"</f>
        <v>2019/11/23 上午 12:00:00</v>
      </c>
      <c r="F707" t="str">
        <f>"D1"</f>
        <v>D1</v>
      </c>
    </row>
    <row r="708" spans="1:6" ht="16.5">
      <c r="A708" t="str">
        <f>"HC108145630"</f>
        <v>HC108145630</v>
      </c>
      <c r="B708" t="str">
        <f>"林秀麗，王子典等二人店鋪，住宅新建工程"</f>
        <v>林秀麗，王子典等二人店鋪，住宅新建工程</v>
      </c>
      <c r="C708" t="str">
        <f>"(106)府工建字 第00095號"</f>
        <v>(106)府工建字 第00095號</v>
      </c>
      <c r="D708" t="str">
        <f>"108/11/25"</f>
        <v>108/11/25</v>
      </c>
      <c r="E708" t="str">
        <f aca="true" t="shared" si="17" ref="E708:E716">"2019/11/25 上午 12:00:00"</f>
        <v>2019/11/25 上午 12:00:00</v>
      </c>
      <c r="F708" t="s">
        <v>9</v>
      </c>
    </row>
    <row r="709" spans="1:6" ht="16.5">
      <c r="A709" t="str">
        <f>"TC208145730"</f>
        <v>TC208145730</v>
      </c>
      <c r="B709" t="str">
        <f>"A1 陳弘祥住宅新建工程"</f>
        <v>A1 陳弘祥住宅新建工程</v>
      </c>
      <c r="C709" t="str">
        <f>"105中都建字第00897號"</f>
        <v>105中都建字第00897號</v>
      </c>
      <c r="D709" t="str">
        <f>"108/11/30"</f>
        <v>108/11/30</v>
      </c>
      <c r="E709" t="str">
        <f t="shared" si="17"/>
        <v>2019/11/25 上午 12:00:00</v>
      </c>
      <c r="F709" t="str">
        <f aca="true" t="shared" si="18" ref="F709:F715">"A1"</f>
        <v>A1</v>
      </c>
    </row>
    <row r="710" spans="1:6" ht="16.5">
      <c r="A710" t="str">
        <f>"TC208145744"</f>
        <v>TC208145744</v>
      </c>
      <c r="B710" t="str">
        <f>"A1x4 陳國華等住宅新建工程"</f>
        <v>A1x4 陳國華等住宅新建工程</v>
      </c>
      <c r="C710" t="str">
        <f>"106中都建字第00375~00378號"</f>
        <v>106中都建字第00375~00378號</v>
      </c>
      <c r="D710" t="str">
        <f>"108/11/27"</f>
        <v>108/11/27</v>
      </c>
      <c r="E710" t="str">
        <f t="shared" si="17"/>
        <v>2019/11/25 上午 12:00:00</v>
      </c>
      <c r="F710" t="str">
        <f t="shared" si="18"/>
        <v>A1</v>
      </c>
    </row>
    <row r="711" spans="1:6" ht="16.5">
      <c r="A711" t="str">
        <f>"TC208145759"</f>
        <v>TC208145759</v>
      </c>
      <c r="B711" t="str">
        <f>"A1x5 楊佳良等住宅新建工程"</f>
        <v>A1x5 楊佳良等住宅新建工程</v>
      </c>
      <c r="C711" t="str">
        <f>"106中都建字第00370~00374號"</f>
        <v>106中都建字第00370~00374號</v>
      </c>
      <c r="D711" t="str">
        <f>"108/11/27"</f>
        <v>108/11/27</v>
      </c>
      <c r="E711" t="str">
        <f t="shared" si="17"/>
        <v>2019/11/25 上午 12:00:00</v>
      </c>
      <c r="F711" t="str">
        <f t="shared" si="18"/>
        <v>A1</v>
      </c>
    </row>
    <row r="712" spans="1:6" ht="16.5">
      <c r="A712" t="str">
        <f>"TC208145767"</f>
        <v>TC208145767</v>
      </c>
      <c r="B712" t="str">
        <f>"A1x3 江依靜等住宅新建工程"</f>
        <v>A1x3 江依靜等住宅新建工程</v>
      </c>
      <c r="C712" t="str">
        <f>"106中都建字第00641~00643號"</f>
        <v>106中都建字第00641~00643號</v>
      </c>
      <c r="D712" t="str">
        <f>"108/11/27"</f>
        <v>108/11/27</v>
      </c>
      <c r="E712" t="str">
        <f t="shared" si="17"/>
        <v>2019/11/25 上午 12:00:00</v>
      </c>
      <c r="F712" t="str">
        <f t="shared" si="18"/>
        <v>A1</v>
      </c>
    </row>
    <row r="713" spans="1:6" ht="16.5">
      <c r="A713" t="str">
        <f>"TC208145788"</f>
        <v>TC208145788</v>
      </c>
      <c r="B713" t="str">
        <f>"A1x4 陳國寶等住宅新建工程"</f>
        <v>A1x4 陳國寶等住宅新建工程</v>
      </c>
      <c r="C713" t="str">
        <f>"106中都建字第00577~00580號 "</f>
        <v>106中都建字第00577~00580號 </v>
      </c>
      <c r="D713" t="str">
        <f>"108/11/27"</f>
        <v>108/11/27</v>
      </c>
      <c r="E713" t="str">
        <f t="shared" si="17"/>
        <v>2019/11/25 上午 12:00:00</v>
      </c>
      <c r="F713" t="str">
        <f t="shared" si="18"/>
        <v>A1</v>
      </c>
    </row>
    <row r="714" spans="1:6" ht="16.5">
      <c r="A714" t="str">
        <f>"TC208145805"</f>
        <v>TC208145805</v>
      </c>
      <c r="B714" t="str">
        <f>"A1x4 楊芳林等四戶住宅新建工程"</f>
        <v>A1x4 楊芳林等四戶住宅新建工程</v>
      </c>
      <c r="C714" t="str">
        <f>"106中都建字第00538~00541號"</f>
        <v>106中都建字第00538~00541號</v>
      </c>
      <c r="D714" t="str">
        <f>"108/11/27"</f>
        <v>108/11/27</v>
      </c>
      <c r="E714" t="str">
        <f t="shared" si="17"/>
        <v>2019/11/25 上午 12:00:00</v>
      </c>
      <c r="F714" t="str">
        <f t="shared" si="18"/>
        <v>A1</v>
      </c>
    </row>
    <row r="715" spans="1:6" ht="16.5">
      <c r="A715" t="str">
        <f>"TY208145834"</f>
        <v>TY208145834</v>
      </c>
      <c r="B715" t="str">
        <f>"林明德桃園市桃園區水汴頭段店鋪住宅新建工程"</f>
        <v>林明德桃園市桃園區水汴頭段店鋪住宅新建工程</v>
      </c>
      <c r="C715" t="str">
        <f>"(106)桃市都建執照字第會桃00847號"</f>
        <v>(106)桃市都建執照字第會桃00847號</v>
      </c>
      <c r="D715" t="str">
        <f>"108/11/28"</f>
        <v>108/11/28</v>
      </c>
      <c r="E715" t="str">
        <f t="shared" si="17"/>
        <v>2019/11/25 上午 12:00:00</v>
      </c>
      <c r="F715" t="str">
        <f t="shared" si="18"/>
        <v>A1</v>
      </c>
    </row>
    <row r="716" spans="1:6" ht="16.5">
      <c r="A716" t="str">
        <f>"TN208145892"</f>
        <v>TN208145892</v>
      </c>
      <c r="B716" t="str">
        <f>"黃珮鈺廠房新建工程"</f>
        <v>黃珮鈺廠房新建工程</v>
      </c>
      <c r="C716" t="str">
        <f>"(106)南工造字第01928號"</f>
        <v>(106)南工造字第01928號</v>
      </c>
      <c r="D716" t="str">
        <f>"108/11/25"</f>
        <v>108/11/25</v>
      </c>
      <c r="E716" t="str">
        <f t="shared" si="17"/>
        <v>2019/11/25 上午 12:00:00</v>
      </c>
      <c r="F716" t="str">
        <f>"C1"</f>
        <v>C1</v>
      </c>
    </row>
    <row r="717" spans="1:6" ht="16.5">
      <c r="A717" t="str">
        <f>"ML108145968"</f>
        <v>ML108145968</v>
      </c>
      <c r="B717" t="str">
        <f>"陳文政 店舖.住宅新建工程"</f>
        <v>陳文政 店舖.住宅新建工程</v>
      </c>
      <c r="C717" t="str">
        <f>"(104)栗商建竹建字第00143號"</f>
        <v>(104)栗商建竹建字第00143號</v>
      </c>
      <c r="D717" t="str">
        <f>"108/11/26"</f>
        <v>108/11/26</v>
      </c>
      <c r="E717" t="str">
        <f>"2019/11/26 上午 12:00:00"</f>
        <v>2019/11/26 上午 12:00:00</v>
      </c>
      <c r="F717" t="str">
        <f>"A1"</f>
        <v>A1</v>
      </c>
    </row>
    <row r="718" spans="1:6" ht="16.5">
      <c r="A718" t="str">
        <f>"ML108146008"</f>
        <v>ML108146008</v>
      </c>
      <c r="B718" t="str">
        <f>"徐雲欽 店舖住宅新建工程"</f>
        <v>徐雲欽 店舖住宅新建工程</v>
      </c>
      <c r="C718" t="str">
        <f>"(101)科工(竹)建字第00093號"</f>
        <v>(101)科工(竹)建字第00093號</v>
      </c>
      <c r="D718" t="str">
        <f>"108/11/28"</f>
        <v>108/11/28</v>
      </c>
      <c r="E718" t="str">
        <f>"2019/11/26 上午 12:00:00"</f>
        <v>2019/11/26 上午 12:00:00</v>
      </c>
      <c r="F718" t="str">
        <f>"A1"</f>
        <v>A1</v>
      </c>
    </row>
    <row r="719" spans="1:6" ht="16.5">
      <c r="A719" t="str">
        <f>"TC208146245"</f>
        <v>TC208146245</v>
      </c>
      <c r="B719" t="str">
        <f>"A1x4 石大福等4戶住宅新建工程"</f>
        <v>A1x4 石大福等4戶住宅新建工程</v>
      </c>
      <c r="C719" t="s">
        <v>76</v>
      </c>
      <c r="D719" t="str">
        <f>"108/11/30"</f>
        <v>108/11/30</v>
      </c>
      <c r="E719" t="str">
        <f>"2019/11/26 上午 12:00:00"</f>
        <v>2019/11/26 上午 12:00:00</v>
      </c>
      <c r="F719" t="str">
        <f>"A1"</f>
        <v>A1</v>
      </c>
    </row>
    <row r="720" spans="1:6" ht="16.5">
      <c r="A720" t="str">
        <f>"TC208146265"</f>
        <v>TC208146265</v>
      </c>
      <c r="B720" t="str">
        <f>"A1x2 江俊明等店舖.住宅新建工程"</f>
        <v>A1x2 江俊明等店舖.住宅新建工程</v>
      </c>
      <c r="C720" t="s">
        <v>77</v>
      </c>
      <c r="D720" t="str">
        <f>"108/11/30"</f>
        <v>108/11/30</v>
      </c>
      <c r="E720" t="str">
        <f>"2019/11/26 上午 12:00:00"</f>
        <v>2019/11/26 上午 12:00:00</v>
      </c>
      <c r="F720" t="str">
        <f>"A1"</f>
        <v>A1</v>
      </c>
    </row>
    <row r="721" spans="1:6" ht="16.5">
      <c r="A721" t="str">
        <f>"TY108146355"</f>
        <v>TY108146355</v>
      </c>
      <c r="B721" t="str">
        <f>"林口216-1地號住宅新建工程"</f>
        <v>林口216-1地號住宅新建工程</v>
      </c>
      <c r="C721" t="str">
        <f>"105林建字第00438號"</f>
        <v>105林建字第00438號</v>
      </c>
      <c r="D721" t="str">
        <f>"108/11/27"</f>
        <v>108/11/27</v>
      </c>
      <c r="E721" t="str">
        <f>"2019/11/26 上午 12:00:00"</f>
        <v>2019/11/26 上午 12:00:00</v>
      </c>
      <c r="F721" t="s">
        <v>7</v>
      </c>
    </row>
    <row r="722" spans="1:6" ht="16.5">
      <c r="A722" t="str">
        <f>"TC208147706"</f>
        <v>TC208147706</v>
      </c>
      <c r="B722" t="str">
        <f>"A1 王 山盈 萱住宅新建工程"</f>
        <v>A1 王 山盈 萱住宅新建工程</v>
      </c>
      <c r="C722" t="str">
        <f>"106中都建字第00811號"</f>
        <v>106中都建字第00811號</v>
      </c>
      <c r="D722" t="str">
        <f>"108/11/30"</f>
        <v>108/11/30</v>
      </c>
      <c r="E722" t="str">
        <f>"2019/11/28 上午 12:00:00"</f>
        <v>2019/11/28 上午 12:00:00</v>
      </c>
      <c r="F722" t="str">
        <f>"A1"</f>
        <v>A1</v>
      </c>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張訓達(基礎)</dc:creator>
  <cp:keywords/>
  <dc:description/>
  <cp:lastModifiedBy>張訓達(基礎)</cp:lastModifiedBy>
  <dcterms:modified xsi:type="dcterms:W3CDTF">2019-12-20T07:56:39Z</dcterms:modified>
  <cp:category/>
  <cp:version/>
  <cp:contentType/>
  <cp:contentStatus/>
</cp:coreProperties>
</file>