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05" activeTab="1"/>
  </bookViews>
  <sheets>
    <sheet name="電信類" sheetId="1" r:id="rId1"/>
    <sheet name="電信類(續)" sheetId="2" r:id="rId2"/>
  </sheets>
  <definedNames>
    <definedName name="_xlnm.Print_Area" localSheetId="0">'電信類'!$A$1:$H$78</definedName>
    <definedName name="_xlnm.Print_Area" localSheetId="1">'電信類(續)'!$A$1:$G$78</definedName>
  </definedNames>
  <calcPr fullCalcOnLoad="1"/>
</workbook>
</file>

<file path=xl/sharedStrings.xml><?xml version="1.0" encoding="utf-8"?>
<sst xmlns="http://schemas.openxmlformats.org/spreadsheetml/2006/main" count="191" uniqueCount="90">
  <si>
    <t>88年</t>
  </si>
  <si>
    <t>89年</t>
  </si>
  <si>
    <t>90年</t>
  </si>
  <si>
    <t>91年</t>
  </si>
  <si>
    <t>92年</t>
  </si>
  <si>
    <t>93年</t>
  </si>
  <si>
    <t>94年</t>
  </si>
  <si>
    <t>87年</t>
  </si>
  <si>
    <t>電信類重要參考指標</t>
  </si>
  <si>
    <t>-</t>
  </si>
  <si>
    <t>電信類重要參考指標</t>
  </si>
  <si>
    <t>95年</t>
  </si>
  <si>
    <t>96年</t>
  </si>
  <si>
    <t>1月</t>
  </si>
  <si>
    <t>本(末)月較
上月增減(%)</t>
  </si>
  <si>
    <t>2月</t>
  </si>
  <si>
    <t>4月</t>
  </si>
  <si>
    <t>1.市內電話用戶
　數、國際電話
　去話分鐘數90
　年6月以前為
　中華電信公司
　資料。
2.出租數據電路
　數、ISDN用戶
　數及分封交換
　數據通信，分
　別在90年6月、
　90年9月及90
　年12月以前為
　中華電信公司
  資料。
3.中華電信公司
　94年8月12日
　完成民營化。</t>
  </si>
  <si>
    <t>105年 累計</t>
  </si>
  <si>
    <t>本年累計數較上年同期增減 (%)</t>
  </si>
  <si>
    <t>本(末)月較上年同月增減(%)</t>
  </si>
  <si>
    <t>3月</t>
  </si>
  <si>
    <t>5月</t>
  </si>
  <si>
    <t>7月</t>
  </si>
  <si>
    <t>8月</t>
  </si>
  <si>
    <t>9月</t>
  </si>
  <si>
    <t>10月</t>
  </si>
  <si>
    <t>本(末)月較
上月增減(%)</t>
  </si>
  <si>
    <t>106年 累計</t>
  </si>
  <si>
    <t>1月</t>
  </si>
  <si>
    <t>104年 累計</t>
  </si>
  <si>
    <t>3月</t>
  </si>
  <si>
    <t>年  月  別</t>
  </si>
  <si>
    <t>行　動　電　話</t>
  </si>
  <si>
    <t>備註</t>
  </si>
  <si>
    <t>用戶數</t>
  </si>
  <si>
    <t>每百人
用戶數</t>
  </si>
  <si>
    <t>去　話
分鐘數</t>
  </si>
  <si>
    <t>千　戶</t>
  </si>
  <si>
    <t>戶／百人</t>
  </si>
  <si>
    <t>網際網路
帳號數</t>
  </si>
  <si>
    <t>9月</t>
  </si>
  <si>
    <t>年  月  別</t>
  </si>
  <si>
    <t>市　內　電　話</t>
  </si>
  <si>
    <t>國際電
話去話
分鐘數</t>
  </si>
  <si>
    <t>整體服務數位網路(ISDN)
用戶數</t>
  </si>
  <si>
    <t>數據通
信出租
電路數</t>
  </si>
  <si>
    <t>分封交換數據通信</t>
  </si>
  <si>
    <t>用戶數</t>
  </si>
  <si>
    <t>每百人
用戶數</t>
  </si>
  <si>
    <t>資訊量</t>
  </si>
  <si>
    <t>萬　戶　</t>
  </si>
  <si>
    <t>戶／百人</t>
  </si>
  <si>
    <t>萬分鐘</t>
  </si>
  <si>
    <t>戶</t>
  </si>
  <si>
    <t>路</t>
  </si>
  <si>
    <t>百萬節</t>
  </si>
  <si>
    <t>1.行動電話包
   含2G、3G
   及4G用戶
   資料。
2.網際網路帳
   號數87年4
   月以前為中
   華電信Hi-
   Net資料，
   89年6月起
   包含TA-Net
   資料。
3.寬頻網際網
   路帳號數，
   包含Xdsl、
   Cable 
   Modem、
   Leased Line
   及PWLAN
   帳號數，90
   年6月以前
   為中華電信
   公司資料。
4.p為預估數</t>
  </si>
  <si>
    <t>4月</t>
  </si>
  <si>
    <t>6月</t>
  </si>
  <si>
    <t>9月</t>
  </si>
  <si>
    <t>8月</t>
  </si>
  <si>
    <t>10月</t>
  </si>
  <si>
    <t>11月</t>
  </si>
  <si>
    <t>12月</t>
  </si>
  <si>
    <t>107年 累計</t>
  </si>
  <si>
    <t>1月</t>
  </si>
  <si>
    <t>2月</t>
  </si>
  <si>
    <t xml:space="preserve"> 103年 累計 </t>
  </si>
  <si>
    <t>102年 累計</t>
  </si>
  <si>
    <t>101年 累計</t>
  </si>
  <si>
    <t>100年 累計</t>
  </si>
  <si>
    <t>98年 累計</t>
  </si>
  <si>
    <t>97年 累計</t>
  </si>
  <si>
    <t>100年 累計</t>
  </si>
  <si>
    <t>99年 累計</t>
  </si>
  <si>
    <t>8月</t>
  </si>
  <si>
    <t>10月</t>
  </si>
  <si>
    <t>無線電
叫　人
用戶數</t>
  </si>
  <si>
    <t>寬　頻</t>
  </si>
  <si>
    <t>千　戶</t>
  </si>
  <si>
    <t>百萬分鐘</t>
  </si>
  <si>
    <t xml:space="preserve"> 98年 累計 </t>
  </si>
  <si>
    <t xml:space="preserve">101年 累計 </t>
  </si>
  <si>
    <t xml:space="preserve">102年 累計 </t>
  </si>
  <si>
    <t xml:space="preserve">103年 累計 </t>
  </si>
  <si>
    <t>106年 累計</t>
  </si>
  <si>
    <t>108年 累計</t>
  </si>
  <si>
    <t>-</t>
  </si>
  <si>
    <t>109年 累計</t>
  </si>
</sst>
</file>

<file path=xl/styles.xml><?xml version="1.0" encoding="utf-8"?>
<styleSheet xmlns="http://schemas.openxmlformats.org/spreadsheetml/2006/main">
  <numFmts count="5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_-;_-@_-"/>
    <numFmt numFmtId="177" formatCode="_-* #,##0.00_-;\-* #,##0.00_-;_-* &quot;-&quot;_-;_-@_-"/>
    <numFmt numFmtId="178" formatCode="\-###0\-"/>
    <numFmt numFmtId="179" formatCode="\-\ ###0\ \-"/>
    <numFmt numFmtId="180" formatCode="###0\ "/>
    <numFmt numFmtId="181" formatCode="###,##0\ \ "/>
    <numFmt numFmtId="182" formatCode="#\ ##0.00"/>
    <numFmt numFmtId="183" formatCode="##0.00"/>
    <numFmt numFmtId="184" formatCode="###0.00"/>
    <numFmt numFmtId="185" formatCode="##\ ##0.00"/>
    <numFmt numFmtId="186" formatCode="###\ ##0"/>
    <numFmt numFmtId="187" formatCode="#\ ##0.0"/>
    <numFmt numFmtId="188" formatCode="##\ ##0"/>
    <numFmt numFmtId="189" formatCode="###0.0"/>
    <numFmt numFmtId="190" formatCode="0.00_);[Red]\(0.00\)"/>
    <numFmt numFmtId="191" formatCode="0.00_ "/>
    <numFmt numFmtId="192" formatCode="0_);[Red]\(0\)"/>
    <numFmt numFmtId="193" formatCode="0.0_);[Red]\(0.0\)"/>
    <numFmt numFmtId="194" formatCode="0.0000000_ "/>
    <numFmt numFmtId="195" formatCode="0.000000_ "/>
    <numFmt numFmtId="196" formatCode="0.00000_ "/>
    <numFmt numFmtId="197" formatCode="0.0000_ "/>
    <numFmt numFmtId="198" formatCode="0.000_ "/>
    <numFmt numFmtId="199" formatCode="0.00000000_ "/>
    <numFmt numFmtId="200" formatCode="#,##0_ "/>
    <numFmt numFmtId="201" formatCode="0;[Red]0"/>
    <numFmt numFmtId="202" formatCode="0.0_ "/>
    <numFmt numFmtId="203" formatCode="_-* #,##0_-;\-* #,##0_-;_-* &quot;-&quot;??_-;_-@_-"/>
    <numFmt numFmtId="204" formatCode="0.0%"/>
    <numFmt numFmtId="205" formatCode="0.000%"/>
    <numFmt numFmtId="206" formatCode="###0.0\ "/>
    <numFmt numFmtId="207" formatCode="[$-404]AM/PM\ hh:mm:ss"/>
    <numFmt numFmtId="208" formatCode="0_ "/>
    <numFmt numFmtId="209" formatCode="#,##0_ ;[Red]\-#,##0\ "/>
    <numFmt numFmtId="210" formatCode="#,##0;[Red]#,##0"/>
    <numFmt numFmtId="211" formatCode="0.00;[Red]0.00"/>
    <numFmt numFmtId="212" formatCode="0_ ;[Red]\-0\ "/>
    <numFmt numFmtId="213" formatCode="#,##0_);[Red]\(#,##0\)"/>
    <numFmt numFmtId="214" formatCode="#,##0.0_ ;[Red]\-#,##0.0\ "/>
    <numFmt numFmtId="215" formatCode="###,###,##0.00"/>
    <numFmt numFmtId="216" formatCode="##,###,###,##0"/>
    <numFmt numFmtId="217" formatCode="#,##0.00_ "/>
    <numFmt numFmtId="218" formatCode="_-* #,##0.0_-;\-* #,##0.0_-;_-* &quot;-&quot;?_-;_-@_-"/>
    <numFmt numFmtId="219" formatCode="#,##0.0_ "/>
  </numFmts>
  <fonts count="77">
    <font>
      <sz val="12"/>
      <name val="新細明體"/>
      <family val="1"/>
    </font>
    <font>
      <sz val="9"/>
      <name val="新細明體"/>
      <family val="1"/>
    </font>
    <font>
      <sz val="11"/>
      <name val="新細明體"/>
      <family val="1"/>
    </font>
    <font>
      <sz val="12"/>
      <name val="標楷體"/>
      <family val="4"/>
    </font>
    <font>
      <sz val="11"/>
      <name val="Times New Roman"/>
      <family val="1"/>
    </font>
    <font>
      <sz val="12"/>
      <color indexed="12"/>
      <name val="Times New Roman"/>
      <family val="1"/>
    </font>
    <font>
      <sz val="12"/>
      <color indexed="8"/>
      <name val="新細明體"/>
      <family val="1"/>
    </font>
    <font>
      <sz val="12"/>
      <color indexed="8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name val="微軟正黑體"/>
      <family val="2"/>
    </font>
    <font>
      <sz val="11"/>
      <name val="微軟正黑體"/>
      <family val="2"/>
    </font>
    <font>
      <b/>
      <sz val="11"/>
      <name val="微軟正黑體"/>
      <family val="2"/>
    </font>
    <font>
      <sz val="14"/>
      <name val="Utsaah"/>
      <family val="2"/>
    </font>
    <font>
      <sz val="14"/>
      <color indexed="8"/>
      <name val="Utsaah"/>
      <family val="2"/>
    </font>
    <font>
      <sz val="10"/>
      <name val="新細明體"/>
      <family val="1"/>
    </font>
    <font>
      <sz val="9"/>
      <name val="Utsaah"/>
      <family val="2"/>
    </font>
    <font>
      <sz val="12"/>
      <name val="Utsaah"/>
      <family val="2"/>
    </font>
    <font>
      <b/>
      <sz val="14"/>
      <name val="Utsaah"/>
      <family val="2"/>
    </font>
    <font>
      <b/>
      <sz val="14"/>
      <color indexed="8"/>
      <name val="Utsaah"/>
      <family val="2"/>
    </font>
    <font>
      <b/>
      <sz val="12"/>
      <name val="新細明體"/>
      <family val="1"/>
    </font>
    <font>
      <b/>
      <sz val="11"/>
      <name val="新細明體"/>
      <family val="1"/>
    </font>
    <font>
      <b/>
      <sz val="12"/>
      <color indexed="8"/>
      <name val="微軟正黑體"/>
      <family val="2"/>
    </font>
    <font>
      <b/>
      <sz val="12"/>
      <name val="微軟正黑體"/>
      <family val="2"/>
    </font>
    <font>
      <sz val="12"/>
      <color indexed="8"/>
      <name val="微軟正黑體"/>
      <family val="2"/>
    </font>
    <font>
      <b/>
      <sz val="15"/>
      <name val="微軟正黑體"/>
      <family val="2"/>
    </font>
    <font>
      <sz val="10"/>
      <color indexed="8"/>
      <name val="微軟正黑體"/>
      <family val="2"/>
    </font>
    <font>
      <sz val="10"/>
      <name val="微軟正黑體"/>
      <family val="2"/>
    </font>
    <font>
      <b/>
      <sz val="10"/>
      <name val="新細明體"/>
      <family val="1"/>
    </font>
    <font>
      <b/>
      <sz val="12"/>
      <name val="Utsaah"/>
      <family val="2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3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12"/>
      <name val="Utsaah"/>
      <family val="2"/>
    </font>
    <font>
      <sz val="12"/>
      <color indexed="8"/>
      <name val="Times New Roman"/>
      <family val="1"/>
    </font>
    <font>
      <sz val="15"/>
      <color indexed="12"/>
      <name val="Utsaah"/>
      <family val="2"/>
    </font>
    <font>
      <b/>
      <sz val="11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3"/>
      <color indexed="56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0000FF"/>
      <name val="Utsaah"/>
      <family val="2"/>
    </font>
    <font>
      <sz val="14"/>
      <color theme="1"/>
      <name val="Utsaah"/>
      <family val="2"/>
    </font>
    <font>
      <sz val="12"/>
      <color rgb="FFFF0000"/>
      <name val="新細明體"/>
      <family val="1"/>
    </font>
    <font>
      <sz val="12"/>
      <color theme="1"/>
      <name val="Times New Roman"/>
      <family val="1"/>
    </font>
    <font>
      <sz val="15"/>
      <color rgb="FF0000FF"/>
      <name val="Utsaah"/>
      <family val="2"/>
    </font>
    <font>
      <b/>
      <sz val="14"/>
      <color theme="1"/>
      <name val="Utsaah"/>
      <family val="2"/>
    </font>
    <font>
      <b/>
      <sz val="12"/>
      <color theme="1"/>
      <name val="新細明體"/>
      <family val="1"/>
    </font>
    <font>
      <b/>
      <sz val="11"/>
      <color theme="1"/>
      <name val="新細明體"/>
      <family val="1"/>
    </font>
    <font>
      <sz val="12"/>
      <color theme="1"/>
      <name val="新細明體"/>
      <family val="1"/>
    </font>
    <font>
      <b/>
      <sz val="12"/>
      <color theme="1"/>
      <name val="微軟正黑體"/>
      <family val="2"/>
    </font>
    <font>
      <sz val="12"/>
      <color theme="1"/>
      <name val="微軟正黑體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5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0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18" borderId="0" applyNumberFormat="0" applyBorder="0" applyAlignment="0" applyProtection="0"/>
    <xf numFmtId="0" fontId="54" fillId="0" borderId="1" applyNumberFormat="0" applyFill="0" applyAlignment="0" applyProtection="0"/>
    <xf numFmtId="0" fontId="55" fillId="19" borderId="0" applyNumberFormat="0" applyBorder="0" applyAlignment="0" applyProtection="0"/>
    <xf numFmtId="9" fontId="0" fillId="0" borderId="0" applyFont="0" applyFill="0" applyBorder="0" applyAlignment="0" applyProtection="0"/>
    <xf numFmtId="0" fontId="5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0" fillId="21" borderId="4" applyNumberFormat="0" applyFon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15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5" applyNumberFormat="0" applyFill="0" applyAlignment="0" applyProtection="0"/>
    <xf numFmtId="0" fontId="60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61" fillId="27" borderId="2" applyNumberFormat="0" applyAlignment="0" applyProtection="0"/>
    <xf numFmtId="0" fontId="62" fillId="20" borderId="8" applyNumberFormat="0" applyAlignment="0" applyProtection="0"/>
    <xf numFmtId="0" fontId="63" fillId="28" borderId="9" applyNumberFormat="0" applyAlignment="0" applyProtection="0"/>
    <xf numFmtId="0" fontId="64" fillId="29" borderId="0" applyNumberFormat="0" applyBorder="0" applyAlignment="0" applyProtection="0"/>
    <xf numFmtId="0" fontId="65" fillId="0" borderId="0" applyNumberFormat="0" applyFill="0" applyBorder="0" applyAlignment="0" applyProtection="0"/>
  </cellStyleXfs>
  <cellXfs count="24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top"/>
    </xf>
    <xf numFmtId="0" fontId="2" fillId="0" borderId="0" xfId="0" applyFont="1" applyFill="1" applyBorder="1" applyAlignment="1">
      <alignment vertical="center"/>
    </xf>
    <xf numFmtId="10" fontId="2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49" fontId="0" fillId="0" borderId="0" xfId="0" applyNumberFormat="1" applyFill="1" applyAlignment="1">
      <alignment vertical="center"/>
    </xf>
    <xf numFmtId="10" fontId="0" fillId="0" borderId="0" xfId="0" applyNumberFormat="1" applyFill="1" applyAlignment="1">
      <alignment vertical="center"/>
    </xf>
    <xf numFmtId="192" fontId="4" fillId="0" borderId="0" xfId="0" applyNumberFormat="1" applyFont="1" applyFill="1" applyAlignment="1">
      <alignment horizontal="left" vertical="top"/>
    </xf>
    <xf numFmtId="10" fontId="5" fillId="0" borderId="0" xfId="40" applyNumberFormat="1" applyFont="1" applyFill="1" applyBorder="1" applyAlignment="1">
      <alignment horizontal="right" vertical="center"/>
    </xf>
    <xf numFmtId="10" fontId="5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184" fontId="6" fillId="0" borderId="0" xfId="15" applyNumberFormat="1" applyFont="1" applyBorder="1" applyAlignment="1">
      <alignment horizontal="right" vertical="center"/>
      <protection/>
    </xf>
    <xf numFmtId="0" fontId="0" fillId="0" borderId="0" xfId="0" applyAlignment="1">
      <alignment vertical="center"/>
    </xf>
    <xf numFmtId="203" fontId="2" fillId="0" borderId="0" xfId="0" applyNumberFormat="1" applyFont="1" applyFill="1" applyAlignment="1">
      <alignment vertical="center"/>
    </xf>
    <xf numFmtId="208" fontId="2" fillId="0" borderId="0" xfId="0" applyNumberFormat="1" applyFont="1" applyFill="1" applyAlignment="1">
      <alignment vertical="center"/>
    </xf>
    <xf numFmtId="41" fontId="0" fillId="0" borderId="0" xfId="0" applyNumberFormat="1" applyAlignment="1">
      <alignment vertical="center"/>
    </xf>
    <xf numFmtId="192" fontId="0" fillId="0" borderId="0" xfId="35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41" fontId="0" fillId="0" borderId="0" xfId="0" applyNumberFormat="1" applyAlignment="1">
      <alignment vertical="center"/>
    </xf>
    <xf numFmtId="0" fontId="13" fillId="0" borderId="10" xfId="0" applyFont="1" applyFill="1" applyBorder="1" applyAlignment="1">
      <alignment horizontal="center" vertical="center" wrapText="1"/>
    </xf>
    <xf numFmtId="10" fontId="6" fillId="0" borderId="0" xfId="15" applyNumberFormat="1" applyFont="1" applyBorder="1" applyAlignment="1">
      <alignment horizontal="right" vertical="center"/>
      <protection/>
    </xf>
    <xf numFmtId="41" fontId="66" fillId="0" borderId="0" xfId="0" applyNumberFormat="1" applyFont="1" applyFill="1" applyBorder="1" applyAlignment="1">
      <alignment horizontal="right" vertical="center"/>
    </xf>
    <xf numFmtId="41" fontId="14" fillId="0" borderId="0" xfId="0" applyNumberFormat="1" applyFont="1" applyFill="1" applyBorder="1" applyAlignment="1">
      <alignment horizontal="right" vertical="center"/>
    </xf>
    <xf numFmtId="189" fontId="14" fillId="0" borderId="0" xfId="35" applyNumberFormat="1" applyFont="1" applyFill="1" applyBorder="1" applyAlignment="1">
      <alignment horizontal="right" vertical="center"/>
    </xf>
    <xf numFmtId="41" fontId="16" fillId="0" borderId="0" xfId="0" applyNumberFormat="1" applyFont="1" applyAlignment="1">
      <alignment vertical="center"/>
    </xf>
    <xf numFmtId="189" fontId="67" fillId="0" borderId="0" xfId="35" applyNumberFormat="1" applyFont="1" applyFill="1" applyBorder="1" applyAlignment="1">
      <alignment horizontal="right" vertical="center"/>
    </xf>
    <xf numFmtId="41" fontId="67" fillId="0" borderId="0" xfId="0" applyNumberFormat="1" applyFont="1" applyFill="1" applyBorder="1" applyAlignment="1">
      <alignment horizontal="right" vertical="center"/>
    </xf>
    <xf numFmtId="41" fontId="17" fillId="0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68" fillId="0" borderId="0" xfId="0" applyFont="1" applyAlignment="1">
      <alignment vertical="center"/>
    </xf>
    <xf numFmtId="184" fontId="0" fillId="0" borderId="0" xfId="15" applyNumberFormat="1" applyFont="1" applyBorder="1" applyAlignment="1">
      <alignment horizontal="right" vertical="center"/>
      <protection/>
    </xf>
    <xf numFmtId="41" fontId="18" fillId="0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41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216" fontId="69" fillId="0" borderId="0" xfId="0" applyNumberFormat="1" applyFont="1" applyFill="1" applyBorder="1" applyAlignment="1">
      <alignment/>
    </xf>
    <xf numFmtId="41" fontId="14" fillId="0" borderId="0" xfId="0" applyNumberFormat="1" applyFont="1" applyFill="1" applyBorder="1" applyAlignment="1" applyProtection="1">
      <alignment horizontal="right" vertical="center"/>
      <protection/>
    </xf>
    <xf numFmtId="200" fontId="14" fillId="0" borderId="0" xfId="15" applyNumberFormat="1" applyFont="1" applyBorder="1" applyAlignment="1" applyProtection="1">
      <alignment horizontal="right" vertical="center"/>
      <protection/>
    </xf>
    <xf numFmtId="187" fontId="15" fillId="0" borderId="0" xfId="35" applyNumberFormat="1" applyFont="1" applyBorder="1" applyAlignment="1" applyProtection="1">
      <alignment horizontal="right" vertical="center"/>
      <protection/>
    </xf>
    <xf numFmtId="187" fontId="67" fillId="0" borderId="0" xfId="35" applyNumberFormat="1" applyFont="1" applyBorder="1" applyAlignment="1" applyProtection="1">
      <alignment horizontal="right" vertical="center"/>
      <protection/>
    </xf>
    <xf numFmtId="200" fontId="14" fillId="0" borderId="0" xfId="15" applyNumberFormat="1" applyFont="1" applyBorder="1" applyAlignment="1" applyProtection="1">
      <alignment vertical="center"/>
      <protection/>
    </xf>
    <xf numFmtId="41" fontId="67" fillId="0" borderId="0" xfId="0" applyNumberFormat="1" applyFont="1" applyFill="1" applyBorder="1" applyAlignment="1" applyProtection="1">
      <alignment horizontal="right" vertical="center"/>
      <protection/>
    </xf>
    <xf numFmtId="187" fontId="14" fillId="0" borderId="0" xfId="35" applyNumberFormat="1" applyFont="1" applyBorder="1" applyAlignment="1" applyProtection="1">
      <alignment horizontal="right" vertical="center"/>
      <protection/>
    </xf>
    <xf numFmtId="187" fontId="15" fillId="0" borderId="0" xfId="35" applyNumberFormat="1" applyFont="1" applyBorder="1" applyAlignment="1" applyProtection="1">
      <alignment horizontal="right" vertical="center"/>
      <protection locked="0"/>
    </xf>
    <xf numFmtId="41" fontId="14" fillId="0" borderId="0" xfId="0" applyNumberFormat="1" applyFont="1" applyFill="1" applyBorder="1" applyAlignment="1" applyProtection="1">
      <alignment horizontal="right" vertical="center"/>
      <protection locked="0"/>
    </xf>
    <xf numFmtId="200" fontId="14" fillId="0" borderId="0" xfId="15" applyNumberFormat="1" applyFont="1" applyBorder="1" applyAlignment="1" applyProtection="1">
      <alignment horizontal="right" vertical="center"/>
      <protection locked="0"/>
    </xf>
    <xf numFmtId="200" fontId="14" fillId="0" borderId="0" xfId="15" applyNumberFormat="1" applyFont="1" applyBorder="1" applyAlignment="1" applyProtection="1">
      <alignment vertical="center"/>
      <protection locked="0"/>
    </xf>
    <xf numFmtId="41" fontId="67" fillId="0" borderId="0" xfId="0" applyNumberFormat="1" applyFont="1" applyFill="1" applyBorder="1" applyAlignment="1" applyProtection="1">
      <alignment horizontal="right" vertical="center"/>
      <protection locked="0"/>
    </xf>
    <xf numFmtId="200" fontId="15" fillId="0" borderId="11" xfId="35" applyNumberFormat="1" applyFont="1" applyBorder="1" applyAlignment="1" applyProtection="1">
      <alignment horizontal="right" vertical="center"/>
      <protection locked="0"/>
    </xf>
    <xf numFmtId="0" fontId="13" fillId="0" borderId="12" xfId="0" applyFont="1" applyBorder="1" applyAlignment="1" applyProtection="1">
      <alignment horizontal="center" vertical="center" wrapText="1"/>
      <protection locked="0"/>
    </xf>
    <xf numFmtId="0" fontId="13" fillId="0" borderId="13" xfId="0" applyFont="1" applyBorder="1" applyAlignment="1" applyProtection="1">
      <alignment horizontal="center" vertical="center" wrapText="1"/>
      <protection locked="0"/>
    </xf>
    <xf numFmtId="0" fontId="13" fillId="0" borderId="14" xfId="0" applyFont="1" applyBorder="1" applyAlignment="1" applyProtection="1">
      <alignment horizontal="center" vertical="center" wrapText="1"/>
      <protection locked="0"/>
    </xf>
    <xf numFmtId="0" fontId="13" fillId="0" borderId="15" xfId="0" applyFont="1" applyBorder="1" applyAlignment="1" applyProtection="1">
      <alignment horizontal="center" vertical="center" wrapText="1"/>
      <protection locked="0"/>
    </xf>
    <xf numFmtId="0" fontId="13" fillId="0" borderId="16" xfId="0" applyFont="1" applyBorder="1" applyAlignment="1" applyProtection="1">
      <alignment horizontal="center" vertical="center" wrapText="1"/>
      <protection locked="0"/>
    </xf>
    <xf numFmtId="41" fontId="14" fillId="0" borderId="11" xfId="35" applyNumberFormat="1" applyFont="1" applyFill="1" applyBorder="1" applyAlignment="1" applyProtection="1">
      <alignment horizontal="right" vertical="center"/>
      <protection locked="0"/>
    </xf>
    <xf numFmtId="187" fontId="14" fillId="0" borderId="0" xfId="35" applyNumberFormat="1" applyFont="1" applyBorder="1" applyAlignment="1" applyProtection="1">
      <alignment horizontal="right" vertical="center"/>
      <protection locked="0"/>
    </xf>
    <xf numFmtId="210" fontId="14" fillId="0" borderId="0" xfId="15" applyNumberFormat="1" applyFont="1" applyBorder="1" applyAlignment="1" applyProtection="1">
      <alignment horizontal="right" vertical="center"/>
      <protection locked="0"/>
    </xf>
    <xf numFmtId="181" fontId="14" fillId="0" borderId="0" xfId="35" applyNumberFormat="1" applyFont="1" applyBorder="1" applyAlignment="1" applyProtection="1">
      <alignment horizontal="right" vertical="center"/>
      <protection locked="0"/>
    </xf>
    <xf numFmtId="181" fontId="15" fillId="0" borderId="0" xfId="35" applyNumberFormat="1" applyFont="1" applyBorder="1" applyAlignment="1" applyProtection="1">
      <alignment horizontal="right" vertical="center"/>
      <protection locked="0"/>
    </xf>
    <xf numFmtId="189" fontId="14" fillId="0" borderId="0" xfId="0" applyNumberFormat="1" applyFont="1" applyBorder="1" applyAlignment="1" applyProtection="1">
      <alignment horizontal="right" vertical="center"/>
      <protection locked="0"/>
    </xf>
    <xf numFmtId="200" fontId="14" fillId="0" borderId="0" xfId="0" applyNumberFormat="1" applyFont="1" applyBorder="1" applyAlignment="1" applyProtection="1">
      <alignment horizontal="right" vertical="center"/>
      <protection locked="0"/>
    </xf>
    <xf numFmtId="184" fontId="70" fillId="0" borderId="17" xfId="15" applyNumberFormat="1" applyFont="1" applyFill="1" applyBorder="1" applyAlignment="1" applyProtection="1">
      <alignment horizontal="right" vertical="center"/>
      <protection locked="0"/>
    </xf>
    <xf numFmtId="184" fontId="70" fillId="0" borderId="18" xfId="15" applyNumberFormat="1" applyFont="1" applyFill="1" applyBorder="1" applyAlignment="1" applyProtection="1">
      <alignment horizontal="right" vertical="center"/>
      <protection locked="0"/>
    </xf>
    <xf numFmtId="41" fontId="19" fillId="0" borderId="11" xfId="35" applyNumberFormat="1" applyFont="1" applyFill="1" applyBorder="1" applyAlignment="1" applyProtection="1">
      <alignment horizontal="right" vertical="center"/>
      <protection/>
    </xf>
    <xf numFmtId="189" fontId="19" fillId="0" borderId="0" xfId="0" applyNumberFormat="1" applyFont="1" applyBorder="1" applyAlignment="1" applyProtection="1">
      <alignment horizontal="right" vertical="center"/>
      <protection/>
    </xf>
    <xf numFmtId="41" fontId="19" fillId="0" borderId="0" xfId="0" applyNumberFormat="1" applyFont="1" applyFill="1" applyBorder="1" applyAlignment="1" applyProtection="1">
      <alignment horizontal="right" vertical="center"/>
      <protection/>
    </xf>
    <xf numFmtId="41" fontId="71" fillId="0" borderId="0" xfId="0" applyNumberFormat="1" applyFont="1" applyFill="1" applyBorder="1" applyAlignment="1" applyProtection="1">
      <alignment horizontal="right" vertical="center"/>
      <protection/>
    </xf>
    <xf numFmtId="200" fontId="19" fillId="0" borderId="0" xfId="0" applyNumberFormat="1" applyFont="1" applyBorder="1" applyAlignment="1" applyProtection="1">
      <alignment horizontal="right" vertical="center"/>
      <protection/>
    </xf>
    <xf numFmtId="200" fontId="19" fillId="0" borderId="0" xfId="15" applyNumberFormat="1" applyFont="1" applyBorder="1" applyAlignment="1" applyProtection="1">
      <alignment horizontal="right" vertical="center"/>
      <protection/>
    </xf>
    <xf numFmtId="187" fontId="20" fillId="0" borderId="0" xfId="35" applyNumberFormat="1" applyFont="1" applyBorder="1" applyAlignment="1" applyProtection="1">
      <alignment horizontal="right" vertical="center"/>
      <protection/>
    </xf>
    <xf numFmtId="0" fontId="22" fillId="0" borderId="0" xfId="0" applyFont="1" applyFill="1" applyAlignment="1">
      <alignment vertical="center"/>
    </xf>
    <xf numFmtId="203" fontId="22" fillId="0" borderId="0" xfId="0" applyNumberFormat="1" applyFont="1" applyFill="1" applyAlignment="1">
      <alignment vertical="center"/>
    </xf>
    <xf numFmtId="208" fontId="22" fillId="0" borderId="0" xfId="0" applyNumberFormat="1" applyFont="1" applyFill="1" applyAlignment="1">
      <alignment vertical="center"/>
    </xf>
    <xf numFmtId="0" fontId="21" fillId="0" borderId="0" xfId="0" applyFont="1" applyAlignment="1">
      <alignment vertical="center"/>
    </xf>
    <xf numFmtId="41" fontId="71" fillId="0" borderId="18" xfId="0" applyNumberFormat="1" applyFont="1" applyFill="1" applyBorder="1" applyAlignment="1" applyProtection="1">
      <alignment horizontal="right" vertical="center"/>
      <protection/>
    </xf>
    <xf numFmtId="200" fontId="71" fillId="0" borderId="18" xfId="15" applyNumberFormat="1" applyFont="1" applyBorder="1" applyAlignment="1" applyProtection="1">
      <alignment horizontal="right" vertical="center"/>
      <protection/>
    </xf>
    <xf numFmtId="41" fontId="72" fillId="0" borderId="0" xfId="0" applyNumberFormat="1" applyFont="1" applyAlignment="1">
      <alignment vertical="center"/>
    </xf>
    <xf numFmtId="0" fontId="73" fillId="0" borderId="0" xfId="0" applyFont="1" applyFill="1" applyAlignment="1">
      <alignment vertical="center"/>
    </xf>
    <xf numFmtId="203" fontId="73" fillId="0" borderId="0" xfId="0" applyNumberFormat="1" applyFont="1" applyFill="1" applyAlignment="1">
      <alignment vertical="center"/>
    </xf>
    <xf numFmtId="208" fontId="73" fillId="0" borderId="0" xfId="0" applyNumberFormat="1" applyFont="1" applyFill="1" applyAlignment="1">
      <alignment vertical="center"/>
    </xf>
    <xf numFmtId="0" fontId="72" fillId="0" borderId="0" xfId="0" applyFont="1" applyAlignment="1">
      <alignment vertical="center"/>
    </xf>
    <xf numFmtId="41" fontId="74" fillId="0" borderId="0" xfId="0" applyNumberFormat="1" applyFont="1" applyAlignment="1">
      <alignment vertical="center"/>
    </xf>
    <xf numFmtId="0" fontId="74" fillId="0" borderId="0" xfId="0" applyFont="1" applyAlignment="1">
      <alignment vertical="center"/>
    </xf>
    <xf numFmtId="0" fontId="74" fillId="0" borderId="0" xfId="0" applyFont="1" applyAlignment="1">
      <alignment vertical="center"/>
    </xf>
    <xf numFmtId="189" fontId="19" fillId="0" borderId="0" xfId="35" applyNumberFormat="1" applyFont="1" applyFill="1" applyBorder="1" applyAlignment="1">
      <alignment horizontal="right" vertical="center"/>
    </xf>
    <xf numFmtId="41" fontId="19" fillId="0" borderId="0" xfId="35" applyNumberFormat="1" applyFont="1" applyFill="1" applyBorder="1" applyAlignment="1">
      <alignment horizontal="right" vertical="center"/>
    </xf>
    <xf numFmtId="41" fontId="19" fillId="0" borderId="11" xfId="0" applyNumberFormat="1" applyFont="1" applyFill="1" applyBorder="1" applyAlignment="1">
      <alignment horizontal="right" vertical="center"/>
    </xf>
    <xf numFmtId="0" fontId="22" fillId="0" borderId="0" xfId="0" applyFont="1" applyFill="1" applyBorder="1" applyAlignment="1">
      <alignment vertical="center"/>
    </xf>
    <xf numFmtId="41" fontId="19" fillId="0" borderId="0" xfId="0" applyNumberFormat="1" applyFont="1" applyFill="1" applyBorder="1" applyAlignment="1">
      <alignment horizontal="right" vertical="center"/>
    </xf>
    <xf numFmtId="10" fontId="22" fillId="0" borderId="0" xfId="0" applyNumberFormat="1" applyFont="1" applyFill="1" applyAlignment="1">
      <alignment vertical="center"/>
    </xf>
    <xf numFmtId="189" fontId="71" fillId="0" borderId="0" xfId="35" applyNumberFormat="1" applyFont="1" applyFill="1" applyBorder="1" applyAlignment="1">
      <alignment horizontal="right" vertical="center"/>
    </xf>
    <xf numFmtId="41" fontId="71" fillId="0" borderId="0" xfId="0" applyNumberFormat="1" applyFont="1" applyFill="1" applyBorder="1" applyAlignment="1">
      <alignment horizontal="right" vertical="center"/>
    </xf>
    <xf numFmtId="41" fontId="21" fillId="0" borderId="0" xfId="0" applyNumberFormat="1" applyFont="1" applyFill="1" applyAlignment="1">
      <alignment horizontal="right" vertical="center"/>
    </xf>
    <xf numFmtId="205" fontId="21" fillId="0" borderId="0" xfId="40" applyNumberFormat="1" applyFont="1" applyFill="1" applyBorder="1" applyAlignment="1">
      <alignment horizontal="right" vertical="center"/>
    </xf>
    <xf numFmtId="192" fontId="21" fillId="0" borderId="0" xfId="35" applyNumberFormat="1" applyFont="1" applyFill="1" applyBorder="1" applyAlignment="1">
      <alignment horizontal="right" vertical="center"/>
    </xf>
    <xf numFmtId="41" fontId="29" fillId="0" borderId="0" xfId="0" applyNumberFormat="1" applyFont="1" applyAlignment="1">
      <alignment vertical="center"/>
    </xf>
    <xf numFmtId="41" fontId="30" fillId="0" borderId="0" xfId="0" applyNumberFormat="1" applyFont="1" applyFill="1" applyBorder="1" applyAlignment="1">
      <alignment horizontal="right" vertical="center"/>
    </xf>
    <xf numFmtId="41" fontId="19" fillId="0" borderId="11" xfId="35" applyNumberFormat="1" applyFont="1" applyFill="1" applyBorder="1" applyAlignment="1">
      <alignment horizontal="right" vertical="center"/>
    </xf>
    <xf numFmtId="0" fontId="22" fillId="0" borderId="19" xfId="0" applyFont="1" applyFill="1" applyBorder="1" applyAlignment="1">
      <alignment vertical="center"/>
    </xf>
    <xf numFmtId="41" fontId="71" fillId="0" borderId="18" xfId="0" applyNumberFormat="1" applyFont="1" applyFill="1" applyBorder="1" applyAlignment="1">
      <alignment horizontal="right" vertical="center"/>
    </xf>
    <xf numFmtId="189" fontId="19" fillId="0" borderId="18" xfId="35" applyNumberFormat="1" applyFont="1" applyFill="1" applyBorder="1" applyAlignment="1">
      <alignment horizontal="right" vertical="center"/>
    </xf>
    <xf numFmtId="189" fontId="14" fillId="0" borderId="0" xfId="35" applyNumberFormat="1" applyFont="1" applyFill="1" applyBorder="1" applyAlignment="1" applyProtection="1">
      <alignment horizontal="right" vertical="center"/>
      <protection locked="0"/>
    </xf>
    <xf numFmtId="184" fontId="70" fillId="30" borderId="18" xfId="15" applyNumberFormat="1" applyFont="1" applyFill="1" applyBorder="1" applyAlignment="1" applyProtection="1">
      <alignment horizontal="right" vertical="center"/>
      <protection locked="0"/>
    </xf>
    <xf numFmtId="191" fontId="70" fillId="30" borderId="18" xfId="15" applyNumberFormat="1" applyFont="1" applyFill="1" applyBorder="1" applyAlignment="1" applyProtection="1">
      <alignment horizontal="right" vertical="center"/>
      <protection locked="0"/>
    </xf>
    <xf numFmtId="200" fontId="71" fillId="0" borderId="18" xfId="35" applyNumberFormat="1" applyFont="1" applyBorder="1" applyAlignment="1" applyProtection="1">
      <alignment horizontal="right" vertical="center"/>
      <protection locked="0"/>
    </xf>
    <xf numFmtId="200" fontId="71" fillId="0" borderId="18" xfId="0" applyNumberFormat="1" applyFont="1" applyFill="1" applyBorder="1" applyAlignment="1" applyProtection="1">
      <alignment horizontal="right" vertical="center"/>
      <protection locked="0"/>
    </xf>
    <xf numFmtId="184" fontId="70" fillId="30" borderId="20" xfId="15" applyNumberFormat="1" applyFont="1" applyFill="1" applyBorder="1" applyAlignment="1" applyProtection="1">
      <alignment horizontal="right" vertical="center"/>
      <protection locked="0"/>
    </xf>
    <xf numFmtId="191" fontId="70" fillId="30" borderId="20" xfId="15" applyNumberFormat="1" applyFont="1" applyFill="1" applyBorder="1" applyAlignment="1" applyProtection="1">
      <alignment horizontal="right" vertical="center"/>
      <protection locked="0"/>
    </xf>
    <xf numFmtId="191" fontId="70" fillId="0" borderId="20" xfId="15" applyNumberFormat="1" applyFont="1" applyFill="1" applyBorder="1" applyAlignment="1" applyProtection="1">
      <alignment horizontal="right" vertical="center"/>
      <protection locked="0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184" fontId="70" fillId="30" borderId="21" xfId="15" applyNumberFormat="1" applyFont="1" applyFill="1" applyBorder="1" applyAlignment="1" applyProtection="1">
      <alignment horizontal="right" vertical="center"/>
      <protection locked="0"/>
    </xf>
    <xf numFmtId="191" fontId="70" fillId="30" borderId="21" xfId="15" applyNumberFormat="1" applyFont="1" applyFill="1" applyBorder="1" applyAlignment="1" applyProtection="1">
      <alignment horizontal="right" vertical="center"/>
      <protection locked="0"/>
    </xf>
    <xf numFmtId="0" fontId="27" fillId="0" borderId="22" xfId="15" applyFont="1" applyBorder="1" applyAlignment="1" applyProtection="1">
      <alignment horizontal="center" vertical="center" wrapText="1"/>
      <protection locked="0"/>
    </xf>
    <xf numFmtId="0" fontId="28" fillId="0" borderId="23" xfId="0" applyFont="1" applyFill="1" applyBorder="1" applyAlignment="1" applyProtection="1">
      <alignment horizontal="center" vertical="center" wrapText="1"/>
      <protection locked="0"/>
    </xf>
    <xf numFmtId="0" fontId="27" fillId="0" borderId="24" xfId="15" applyFont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vertical="center"/>
      <protection locked="0"/>
    </xf>
    <xf numFmtId="187" fontId="20" fillId="0" borderId="18" xfId="35" applyNumberFormat="1" applyFont="1" applyBorder="1" applyAlignment="1" applyProtection="1">
      <alignment horizontal="right" vertical="center"/>
      <protection/>
    </xf>
    <xf numFmtId="219" fontId="71" fillId="0" borderId="18" xfId="0" applyNumberFormat="1" applyFont="1" applyFill="1" applyBorder="1" applyAlignment="1" applyProtection="1">
      <alignment horizontal="right" vertical="center"/>
      <protection locked="0"/>
    </xf>
    <xf numFmtId="219" fontId="71" fillId="0" borderId="18" xfId="35" applyNumberFormat="1" applyFont="1" applyBorder="1" applyAlignment="1" applyProtection="1">
      <alignment horizontal="right" vertical="center"/>
      <protection locked="0"/>
    </xf>
    <xf numFmtId="180" fontId="19" fillId="0" borderId="25" xfId="35" applyNumberFormat="1" applyFont="1" applyFill="1" applyBorder="1" applyAlignment="1">
      <alignment horizontal="right" vertical="center"/>
    </xf>
    <xf numFmtId="41" fontId="19" fillId="0" borderId="25" xfId="35" applyNumberFormat="1" applyFont="1" applyFill="1" applyBorder="1" applyAlignment="1">
      <alignment horizontal="right" vertical="center"/>
    </xf>
    <xf numFmtId="41" fontId="20" fillId="0" borderId="0" xfId="35" applyNumberFormat="1" applyFont="1" applyFill="1" applyBorder="1" applyAlignment="1">
      <alignment horizontal="right" vertical="center"/>
    </xf>
    <xf numFmtId="184" fontId="70" fillId="0" borderId="0" xfId="15" applyNumberFormat="1" applyFont="1" applyFill="1" applyBorder="1" applyAlignment="1" applyProtection="1">
      <alignment horizontal="right" vertical="center"/>
      <protection locked="0"/>
    </xf>
    <xf numFmtId="184" fontId="70" fillId="0" borderId="26" xfId="15" applyNumberFormat="1" applyFont="1" applyFill="1" applyBorder="1" applyAlignment="1" applyProtection="1">
      <alignment horizontal="right" vertical="center"/>
      <protection locked="0"/>
    </xf>
    <xf numFmtId="0" fontId="13" fillId="0" borderId="25" xfId="0" applyFont="1" applyBorder="1" applyAlignment="1" applyProtection="1">
      <alignment horizontal="center" vertical="center" wrapText="1"/>
      <protection locked="0"/>
    </xf>
    <xf numFmtId="49" fontId="3" fillId="0" borderId="0" xfId="0" applyNumberFormat="1" applyFont="1" applyBorder="1" applyAlignment="1" applyProtection="1">
      <alignment horizontal="center" vertical="center"/>
      <protection locked="0"/>
    </xf>
    <xf numFmtId="49" fontId="7" fillId="0" borderId="0" xfId="0" applyNumberFormat="1" applyFont="1" applyBorder="1" applyAlignment="1" applyProtection="1">
      <alignment horizontal="center" vertical="center"/>
      <protection locked="0"/>
    </xf>
    <xf numFmtId="49" fontId="23" fillId="0" borderId="0" xfId="0" applyNumberFormat="1" applyFont="1" applyBorder="1" applyAlignment="1" applyProtection="1">
      <alignment horizontal="center" vertical="center"/>
      <protection/>
    </xf>
    <xf numFmtId="49" fontId="23" fillId="0" borderId="0" xfId="15" applyNumberFormat="1" applyFont="1" applyBorder="1" applyAlignment="1" applyProtection="1">
      <alignment horizontal="center" vertical="center"/>
      <protection/>
    </xf>
    <xf numFmtId="49" fontId="24" fillId="0" borderId="0" xfId="0" applyNumberFormat="1" applyFont="1" applyFill="1" applyBorder="1" applyAlignment="1" applyProtection="1">
      <alignment horizontal="center" vertical="center"/>
      <protection/>
    </xf>
    <xf numFmtId="49" fontId="75" fillId="0" borderId="18" xfId="15" applyNumberFormat="1" applyFont="1" applyBorder="1" applyAlignment="1" applyProtection="1">
      <alignment horizontal="center" vertical="center"/>
      <protection/>
    </xf>
    <xf numFmtId="49" fontId="25" fillId="0" borderId="0" xfId="15" applyNumberFormat="1" applyFont="1" applyBorder="1" applyAlignment="1" applyProtection="1">
      <alignment horizontal="center" vertical="center"/>
      <protection locked="0"/>
    </xf>
    <xf numFmtId="49" fontId="76" fillId="0" borderId="0" xfId="0" applyNumberFormat="1" applyFont="1" applyFill="1" applyBorder="1" applyAlignment="1" applyProtection="1">
      <alignment horizontal="center" vertical="center"/>
      <protection locked="0"/>
    </xf>
    <xf numFmtId="49" fontId="11" fillId="0" borderId="0" xfId="0" applyNumberFormat="1" applyFont="1" applyFill="1" applyBorder="1" applyAlignment="1" applyProtection="1">
      <alignment horizontal="center" vertical="center"/>
      <protection locked="0"/>
    </xf>
    <xf numFmtId="49" fontId="76" fillId="0" borderId="0" xfId="15" applyNumberFormat="1" applyFont="1" applyBorder="1" applyAlignment="1" applyProtection="1">
      <alignment horizontal="center" vertical="center"/>
      <protection locked="0"/>
    </xf>
    <xf numFmtId="49" fontId="11" fillId="0" borderId="0" xfId="15" applyNumberFormat="1" applyFont="1" applyBorder="1" applyAlignment="1" applyProtection="1">
      <alignment horizontal="center" vertical="center"/>
      <protection locked="0"/>
    </xf>
    <xf numFmtId="49" fontId="75" fillId="0" borderId="18" xfId="15" applyNumberFormat="1" applyFont="1" applyBorder="1" applyAlignment="1" applyProtection="1">
      <alignment horizontal="center" vertical="center"/>
      <protection locked="0"/>
    </xf>
    <xf numFmtId="0" fontId="27" fillId="0" borderId="27" xfId="15" applyFont="1" applyBorder="1" applyAlignment="1" applyProtection="1">
      <alignment horizontal="center" vertical="center" wrapText="1"/>
      <protection locked="0"/>
    </xf>
    <xf numFmtId="0" fontId="28" fillId="0" borderId="28" xfId="0" applyFont="1" applyFill="1" applyBorder="1" applyAlignment="1" applyProtection="1">
      <alignment horizontal="center" vertical="center" wrapText="1"/>
      <protection locked="0"/>
    </xf>
    <xf numFmtId="0" fontId="27" fillId="0" borderId="20" xfId="15" applyFont="1" applyBorder="1" applyAlignment="1" applyProtection="1">
      <alignment horizontal="center" vertical="center" wrapText="1"/>
      <protection locked="0"/>
    </xf>
    <xf numFmtId="0" fontId="13" fillId="0" borderId="29" xfId="0" applyFont="1" applyBorder="1" applyAlignment="1" applyProtection="1">
      <alignment horizontal="center" vertical="center" wrapText="1"/>
      <protection locked="0"/>
    </xf>
    <xf numFmtId="200" fontId="14" fillId="0" borderId="30" xfId="15" applyNumberFormat="1" applyFont="1" applyBorder="1" applyAlignment="1" applyProtection="1">
      <alignment horizontal="right" vertical="center"/>
      <protection locked="0"/>
    </xf>
    <xf numFmtId="200" fontId="14" fillId="0" borderId="25" xfId="15" applyNumberFormat="1" applyFont="1" applyBorder="1" applyAlignment="1" applyProtection="1">
      <alignment horizontal="right" vertical="center"/>
      <protection locked="0"/>
    </xf>
    <xf numFmtId="200" fontId="19" fillId="0" borderId="25" xfId="15" applyNumberFormat="1" applyFont="1" applyBorder="1" applyAlignment="1" applyProtection="1">
      <alignment horizontal="right" vertical="center"/>
      <protection/>
    </xf>
    <xf numFmtId="192" fontId="19" fillId="0" borderId="25" xfId="15" applyNumberFormat="1" applyFont="1" applyBorder="1" applyAlignment="1" applyProtection="1">
      <alignment horizontal="right" vertical="center"/>
      <protection/>
    </xf>
    <xf numFmtId="192" fontId="19" fillId="0" borderId="25" xfId="15" applyNumberFormat="1" applyFont="1" applyFill="1" applyBorder="1" applyAlignment="1" applyProtection="1">
      <alignment horizontal="right" vertical="center"/>
      <protection/>
    </xf>
    <xf numFmtId="41" fontId="71" fillId="0" borderId="17" xfId="35" applyNumberFormat="1" applyFont="1" applyFill="1" applyBorder="1" applyAlignment="1" applyProtection="1">
      <alignment horizontal="right" vertical="center"/>
      <protection/>
    </xf>
    <xf numFmtId="200" fontId="71" fillId="0" borderId="23" xfId="15" applyNumberFormat="1" applyFont="1" applyFill="1" applyBorder="1" applyAlignment="1" applyProtection="1">
      <alignment horizontal="right" vertical="center"/>
      <protection/>
    </xf>
    <xf numFmtId="41" fontId="14" fillId="0" borderId="11" xfId="35" applyNumberFormat="1" applyFont="1" applyFill="1" applyBorder="1" applyAlignment="1" applyProtection="1">
      <alignment horizontal="right" vertical="center"/>
      <protection/>
    </xf>
    <xf numFmtId="41" fontId="67" fillId="0" borderId="25" xfId="0" applyNumberFormat="1" applyFont="1" applyFill="1" applyBorder="1" applyAlignment="1" applyProtection="1">
      <alignment horizontal="right" vertical="center"/>
      <protection/>
    </xf>
    <xf numFmtId="41" fontId="67" fillId="0" borderId="11" xfId="0" applyNumberFormat="1" applyFont="1" applyFill="1" applyBorder="1" applyAlignment="1" applyProtection="1">
      <alignment horizontal="right" vertical="center"/>
      <protection/>
    </xf>
    <xf numFmtId="41" fontId="14" fillId="0" borderId="11" xfId="0" applyNumberFormat="1" applyFont="1" applyFill="1" applyBorder="1" applyAlignment="1" applyProtection="1">
      <alignment horizontal="right" vertical="center"/>
      <protection/>
    </xf>
    <xf numFmtId="200" fontId="15" fillId="0" borderId="11" xfId="35" applyNumberFormat="1" applyFont="1" applyBorder="1" applyAlignment="1" applyProtection="1">
      <alignment horizontal="right" vertical="center"/>
      <protection/>
    </xf>
    <xf numFmtId="200" fontId="71" fillId="0" borderId="17" xfId="35" applyNumberFormat="1" applyFont="1" applyBorder="1" applyAlignment="1" applyProtection="1">
      <alignment horizontal="right" vertical="center"/>
      <protection locked="0"/>
    </xf>
    <xf numFmtId="200" fontId="71" fillId="0" borderId="23" xfId="15" applyNumberFormat="1" applyFont="1" applyFill="1" applyBorder="1" applyAlignment="1" applyProtection="1">
      <alignment horizontal="right" vertical="center"/>
      <protection locked="0"/>
    </xf>
    <xf numFmtId="41" fontId="67" fillId="0" borderId="25" xfId="0" applyNumberFormat="1" applyFont="1" applyFill="1" applyBorder="1" applyAlignment="1" applyProtection="1">
      <alignment horizontal="right" vertical="center"/>
      <protection locked="0"/>
    </xf>
    <xf numFmtId="200" fontId="67" fillId="0" borderId="25" xfId="0" applyNumberFormat="1" applyFont="1" applyFill="1" applyBorder="1" applyAlignment="1" applyProtection="1">
      <alignment horizontal="right" vertical="center"/>
      <protection locked="0"/>
    </xf>
    <xf numFmtId="184" fontId="70" fillId="0" borderId="23" xfId="15" applyNumberFormat="1" applyFont="1" applyFill="1" applyBorder="1" applyAlignment="1" applyProtection="1">
      <alignment horizontal="right" vertical="center"/>
      <protection locked="0"/>
    </xf>
    <xf numFmtId="184" fontId="70" fillId="0" borderId="20" xfId="15" applyNumberFormat="1" applyFont="1" applyFill="1" applyBorder="1" applyAlignment="1" applyProtection="1">
      <alignment horizontal="right" vertical="center"/>
      <protection locked="0"/>
    </xf>
    <xf numFmtId="49" fontId="24" fillId="0" borderId="11" xfId="0" applyNumberFormat="1" applyFont="1" applyFill="1" applyBorder="1" applyAlignment="1">
      <alignment horizontal="center" vertical="center"/>
    </xf>
    <xf numFmtId="49" fontId="24" fillId="0" borderId="0" xfId="0" applyNumberFormat="1" applyFont="1" applyFill="1" applyBorder="1" applyAlignment="1">
      <alignment horizontal="center" vertical="center"/>
    </xf>
    <xf numFmtId="49" fontId="75" fillId="0" borderId="18" xfId="0" applyNumberFormat="1" applyFont="1" applyFill="1" applyBorder="1" applyAlignment="1">
      <alignment horizontal="center" vertical="center"/>
    </xf>
    <xf numFmtId="49" fontId="75" fillId="0" borderId="18" xfId="0" applyNumberFormat="1" applyFont="1" applyFill="1" applyBorder="1" applyAlignment="1" applyProtection="1">
      <alignment horizontal="center" vertical="center"/>
      <protection locked="0"/>
    </xf>
    <xf numFmtId="0" fontId="13" fillId="0" borderId="29" xfId="0" applyFont="1" applyFill="1" applyBorder="1" applyAlignment="1">
      <alignment horizontal="center" vertical="center" wrapText="1"/>
    </xf>
    <xf numFmtId="41" fontId="20" fillId="0" borderId="25" xfId="35" applyNumberFormat="1" applyFont="1" applyFill="1" applyBorder="1" applyAlignment="1">
      <alignment horizontal="right" vertical="center"/>
    </xf>
    <xf numFmtId="41" fontId="19" fillId="0" borderId="25" xfId="0" applyNumberFormat="1" applyFont="1" applyFill="1" applyBorder="1" applyAlignment="1">
      <alignment horizontal="right" vertical="center"/>
    </xf>
    <xf numFmtId="0" fontId="19" fillId="0" borderId="11" xfId="0" applyFont="1" applyFill="1" applyBorder="1" applyAlignment="1">
      <alignment horizontal="right" vertical="center"/>
    </xf>
    <xf numFmtId="0" fontId="71" fillId="0" borderId="11" xfId="0" applyFont="1" applyFill="1" applyBorder="1" applyAlignment="1">
      <alignment horizontal="right" vertical="center"/>
    </xf>
    <xf numFmtId="41" fontId="71" fillId="0" borderId="25" xfId="0" applyNumberFormat="1" applyFont="1" applyFill="1" applyBorder="1" applyAlignment="1">
      <alignment horizontal="right" vertical="center"/>
    </xf>
    <xf numFmtId="0" fontId="71" fillId="0" borderId="17" xfId="0" applyFont="1" applyFill="1" applyBorder="1" applyAlignment="1">
      <alignment horizontal="right" vertical="center"/>
    </xf>
    <xf numFmtId="41" fontId="71" fillId="0" borderId="23" xfId="0" applyNumberFormat="1" applyFont="1" applyFill="1" applyBorder="1" applyAlignment="1">
      <alignment horizontal="right" vertical="center"/>
    </xf>
    <xf numFmtId="0" fontId="14" fillId="0" borderId="11" xfId="0" applyFont="1" applyFill="1" applyBorder="1" applyAlignment="1">
      <alignment horizontal="right" vertical="center"/>
    </xf>
    <xf numFmtId="41" fontId="14" fillId="0" borderId="25" xfId="0" applyNumberFormat="1" applyFont="1" applyFill="1" applyBorder="1" applyAlignment="1">
      <alignment horizontal="right" vertical="center"/>
    </xf>
    <xf numFmtId="0" fontId="67" fillId="0" borderId="11" xfId="0" applyFont="1" applyFill="1" applyBorder="1" applyAlignment="1">
      <alignment horizontal="right" vertical="center"/>
    </xf>
    <xf numFmtId="41" fontId="67" fillId="0" borderId="25" xfId="0" applyNumberFormat="1" applyFont="1" applyFill="1" applyBorder="1" applyAlignment="1">
      <alignment horizontal="right" vertical="center"/>
    </xf>
    <xf numFmtId="200" fontId="71" fillId="0" borderId="23" xfId="0" applyNumberFormat="1" applyFont="1" applyFill="1" applyBorder="1" applyAlignment="1" applyProtection="1">
      <alignment horizontal="right" vertical="center"/>
      <protection locked="0"/>
    </xf>
    <xf numFmtId="0" fontId="14" fillId="0" borderId="11" xfId="0" applyFont="1" applyFill="1" applyBorder="1" applyAlignment="1" applyProtection="1">
      <alignment horizontal="right" vertical="center"/>
      <protection locked="0"/>
    </xf>
    <xf numFmtId="41" fontId="14" fillId="0" borderId="25" xfId="0" applyNumberFormat="1" applyFont="1" applyFill="1" applyBorder="1" applyAlignment="1" applyProtection="1">
      <alignment horizontal="right" vertical="center"/>
      <protection locked="0"/>
    </xf>
    <xf numFmtId="200" fontId="20" fillId="0" borderId="17" xfId="35" applyNumberFormat="1" applyFont="1" applyBorder="1" applyAlignment="1" applyProtection="1">
      <alignment horizontal="right" vertical="center"/>
      <protection locked="0"/>
    </xf>
    <xf numFmtId="41" fontId="19" fillId="0" borderId="18" xfId="0" applyNumberFormat="1" applyFont="1" applyFill="1" applyBorder="1" applyAlignment="1" applyProtection="1">
      <alignment horizontal="right" vertical="center"/>
      <protection locked="0"/>
    </xf>
    <xf numFmtId="200" fontId="19" fillId="0" borderId="18" xfId="15" applyNumberFormat="1" applyFont="1" applyBorder="1" applyAlignment="1" applyProtection="1">
      <alignment horizontal="right" vertical="center"/>
      <protection locked="0"/>
    </xf>
    <xf numFmtId="200" fontId="71" fillId="0" borderId="23" xfId="0" applyNumberFormat="1" applyFont="1" applyFill="1" applyBorder="1" applyAlignment="1" applyProtection="1">
      <alignment horizontal="right" vertical="center"/>
      <protection locked="0"/>
    </xf>
    <xf numFmtId="0" fontId="19" fillId="0" borderId="17" xfId="0" applyFont="1" applyFill="1" applyBorder="1" applyAlignment="1" applyProtection="1">
      <alignment horizontal="right" vertical="center"/>
      <protection locked="0"/>
    </xf>
    <xf numFmtId="41" fontId="71" fillId="0" borderId="18" xfId="0" applyNumberFormat="1" applyFont="1" applyFill="1" applyBorder="1" applyAlignment="1" applyProtection="1">
      <alignment horizontal="right" vertical="center"/>
      <protection locked="0"/>
    </xf>
    <xf numFmtId="41" fontId="71" fillId="0" borderId="23" xfId="0" applyNumberFormat="1" applyFont="1" applyFill="1" applyBorder="1" applyAlignment="1" applyProtection="1">
      <alignment horizontal="right" vertical="center"/>
      <protection locked="0"/>
    </xf>
    <xf numFmtId="219" fontId="20" fillId="0" borderId="18" xfId="35" applyNumberFormat="1" applyFont="1" applyBorder="1" applyAlignment="1" applyProtection="1">
      <alignment horizontal="right" vertical="center"/>
      <protection locked="0"/>
    </xf>
    <xf numFmtId="218" fontId="19" fillId="0" borderId="18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Font="1" applyFill="1" applyBorder="1" applyAlignment="1" applyProtection="1">
      <alignment horizontal="right" vertical="center"/>
      <protection locked="0"/>
    </xf>
    <xf numFmtId="49" fontId="75" fillId="0" borderId="23" xfId="15" applyNumberFormat="1" applyFont="1" applyBorder="1" applyAlignment="1" applyProtection="1">
      <alignment horizontal="center" vertical="center"/>
      <protection locked="0"/>
    </xf>
    <xf numFmtId="49" fontId="25" fillId="0" borderId="25" xfId="15" applyNumberFormat="1" applyFont="1" applyBorder="1" applyAlignment="1" applyProtection="1">
      <alignment horizontal="center" vertical="center"/>
      <protection locked="0"/>
    </xf>
    <xf numFmtId="49" fontId="76" fillId="0" borderId="25" xfId="0" applyNumberFormat="1" applyFont="1" applyFill="1" applyBorder="1" applyAlignment="1" applyProtection="1">
      <alignment horizontal="center" vertical="center"/>
      <protection locked="0"/>
    </xf>
    <xf numFmtId="49" fontId="11" fillId="0" borderId="25" xfId="0" applyNumberFormat="1" applyFont="1" applyFill="1" applyBorder="1" applyAlignment="1" applyProtection="1">
      <alignment horizontal="center" vertical="center"/>
      <protection locked="0"/>
    </xf>
    <xf numFmtId="49" fontId="76" fillId="0" borderId="25" xfId="15" applyNumberFormat="1" applyFont="1" applyBorder="1" applyAlignment="1" applyProtection="1">
      <alignment horizontal="center" vertical="center"/>
      <protection locked="0"/>
    </xf>
    <xf numFmtId="49" fontId="11" fillId="0" borderId="31" xfId="15" applyNumberFormat="1" applyFont="1" applyBorder="1" applyAlignment="1" applyProtection="1">
      <alignment horizontal="center" vertical="center"/>
      <protection locked="0"/>
    </xf>
    <xf numFmtId="200" fontId="15" fillId="0" borderId="0" xfId="35" applyNumberFormat="1" applyFont="1" applyBorder="1" applyAlignment="1" applyProtection="1">
      <alignment horizontal="right" vertical="center"/>
      <protection locked="0"/>
    </xf>
    <xf numFmtId="200" fontId="67" fillId="0" borderId="0" xfId="0" applyNumberFormat="1" applyFont="1" applyFill="1" applyBorder="1" applyAlignment="1" applyProtection="1">
      <alignment horizontal="right" vertical="center"/>
      <protection locked="0"/>
    </xf>
    <xf numFmtId="0" fontId="19" fillId="0" borderId="0" xfId="0" applyFont="1" applyFill="1" applyBorder="1" applyAlignment="1" applyProtection="1">
      <alignment horizontal="right" vertical="center"/>
      <protection locked="0"/>
    </xf>
    <xf numFmtId="41" fontId="19" fillId="0" borderId="0" xfId="0" applyNumberFormat="1" applyFont="1" applyFill="1" applyBorder="1" applyAlignment="1" applyProtection="1">
      <alignment horizontal="right" vertical="center"/>
      <protection locked="0"/>
    </xf>
    <xf numFmtId="189" fontId="19" fillId="0" borderId="0" xfId="35" applyNumberFormat="1" applyFont="1" applyFill="1" applyBorder="1" applyAlignment="1" applyProtection="1">
      <alignment horizontal="right" vertical="center"/>
      <protection locked="0"/>
    </xf>
    <xf numFmtId="41" fontId="71" fillId="0" borderId="0" xfId="0" applyNumberFormat="1" applyFont="1" applyFill="1" applyBorder="1" applyAlignment="1" applyProtection="1">
      <alignment horizontal="right" vertical="center"/>
      <protection locked="0"/>
    </xf>
    <xf numFmtId="200" fontId="20" fillId="0" borderId="0" xfId="35" applyNumberFormat="1" applyFont="1" applyBorder="1" applyAlignment="1" applyProtection="1">
      <alignment horizontal="right" vertical="center"/>
      <protection locked="0"/>
    </xf>
    <xf numFmtId="187" fontId="20" fillId="0" borderId="0" xfId="35" applyNumberFormat="1" applyFont="1" applyBorder="1" applyAlignment="1" applyProtection="1">
      <alignment horizontal="right" vertical="center"/>
      <protection locked="0"/>
    </xf>
    <xf numFmtId="200" fontId="19" fillId="0" borderId="0" xfId="15" applyNumberFormat="1" applyFont="1" applyBorder="1" applyAlignment="1" applyProtection="1">
      <alignment horizontal="right" vertical="center"/>
      <protection locked="0"/>
    </xf>
    <xf numFmtId="200" fontId="71" fillId="0" borderId="0" xfId="0" applyNumberFormat="1" applyFont="1" applyFill="1" applyBorder="1" applyAlignment="1" applyProtection="1">
      <alignment horizontal="right" vertical="center"/>
      <protection locked="0"/>
    </xf>
    <xf numFmtId="0" fontId="26" fillId="0" borderId="32" xfId="0" applyFont="1" applyBorder="1" applyAlignment="1" applyProtection="1">
      <alignment horizontal="center" vertical="center"/>
      <protection locked="0"/>
    </xf>
    <xf numFmtId="0" fontId="24" fillId="0" borderId="32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vertical="center"/>
    </xf>
    <xf numFmtId="0" fontId="13" fillId="0" borderId="33" xfId="0" applyFont="1" applyBorder="1" applyAlignment="1" applyProtection="1">
      <alignment horizontal="center" vertical="center" wrapText="1"/>
      <protection locked="0"/>
    </xf>
    <xf numFmtId="0" fontId="13" fillId="0" borderId="22" xfId="0" applyFont="1" applyBorder="1" applyAlignment="1" applyProtection="1">
      <alignment horizontal="center" vertical="center" wrapText="1"/>
      <protection locked="0"/>
    </xf>
    <xf numFmtId="0" fontId="13" fillId="0" borderId="34" xfId="0" applyFont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13" fillId="0" borderId="32" xfId="0" applyFont="1" applyBorder="1" applyAlignment="1" applyProtection="1">
      <alignment horizontal="center" vertical="center" wrapText="1"/>
      <protection locked="0"/>
    </xf>
    <xf numFmtId="0" fontId="13" fillId="0" borderId="35" xfId="0" applyFont="1" applyBorder="1" applyAlignment="1" applyProtection="1">
      <alignment horizontal="center" vertical="center" wrapText="1"/>
      <protection locked="0"/>
    </xf>
    <xf numFmtId="0" fontId="13" fillId="0" borderId="36" xfId="0" applyFont="1" applyBorder="1" applyAlignment="1" applyProtection="1">
      <alignment horizontal="center" vertical="center" wrapText="1"/>
      <protection locked="0"/>
    </xf>
    <xf numFmtId="0" fontId="13" fillId="0" borderId="37" xfId="0" applyFont="1" applyBorder="1" applyAlignment="1" applyProtection="1">
      <alignment horizontal="center" vertical="center" wrapText="1"/>
      <protection locked="0"/>
    </xf>
    <xf numFmtId="0" fontId="13" fillId="0" borderId="13" xfId="0" applyFont="1" applyBorder="1" applyAlignment="1" applyProtection="1">
      <alignment horizontal="center" vertical="center" wrapText="1"/>
      <protection locked="0"/>
    </xf>
    <xf numFmtId="0" fontId="26" fillId="0" borderId="32" xfId="0" applyFont="1" applyFill="1" applyBorder="1" applyAlignment="1">
      <alignment horizontal="center" vertical="center"/>
    </xf>
    <xf numFmtId="0" fontId="24" fillId="0" borderId="32" xfId="0" applyFont="1" applyBorder="1" applyAlignment="1">
      <alignment horizontal="center" vertical="center"/>
    </xf>
    <xf numFmtId="0" fontId="12" fillId="0" borderId="34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top" wrapText="1"/>
    </xf>
    <xf numFmtId="0" fontId="12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13" fillId="0" borderId="38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39" xfId="0" applyFont="1" applyFill="1" applyBorder="1" applyAlignment="1">
      <alignment horizontal="center" vertical="center" wrapText="1"/>
    </xf>
    <xf numFmtId="0" fontId="13" fillId="0" borderId="40" xfId="0" applyFont="1" applyFill="1" applyBorder="1" applyAlignment="1">
      <alignment horizontal="center" vertical="center" wrapText="1"/>
    </xf>
    <xf numFmtId="0" fontId="13" fillId="0" borderId="33" xfId="0" applyFont="1" applyFill="1" applyBorder="1" applyAlignment="1">
      <alignment horizontal="center" vertical="center" wrapText="1"/>
    </xf>
    <xf numFmtId="0" fontId="13" fillId="0" borderId="36" xfId="0" applyFont="1" applyFill="1" applyBorder="1" applyAlignment="1">
      <alignment horizontal="center" vertical="center" wrapText="1"/>
    </xf>
    <xf numFmtId="0" fontId="13" fillId="0" borderId="41" xfId="0" applyFont="1" applyFill="1" applyBorder="1" applyAlignment="1">
      <alignment horizontal="center" vertical="center" wrapText="1"/>
    </xf>
    <xf numFmtId="0" fontId="13" fillId="0" borderId="42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</cellXfs>
  <cellStyles count="50">
    <cellStyle name="Normal" xfId="0"/>
    <cellStyle name="%" xfId="15"/>
    <cellStyle name="20% - 輔色1" xfId="16"/>
    <cellStyle name="20% - 輔色2" xfId="17"/>
    <cellStyle name="20% - 輔色3" xfId="18"/>
    <cellStyle name="20% - 輔色4" xfId="19"/>
    <cellStyle name="20% - 輔色5" xfId="20"/>
    <cellStyle name="20% - 輔色6" xfId="21"/>
    <cellStyle name="40% - 輔色1" xfId="22"/>
    <cellStyle name="40% - 輔色2" xfId="23"/>
    <cellStyle name="40% - 輔色3" xfId="24"/>
    <cellStyle name="40% - 輔色4" xfId="25"/>
    <cellStyle name="40% - 輔色5" xfId="26"/>
    <cellStyle name="40% - 輔色6" xfId="27"/>
    <cellStyle name="60% - 輔色1" xfId="28"/>
    <cellStyle name="60% - 輔色2" xfId="29"/>
    <cellStyle name="60% - 輔色3" xfId="30"/>
    <cellStyle name="60% - 輔色4" xfId="31"/>
    <cellStyle name="60% - 輔色5" xfId="32"/>
    <cellStyle name="60% - 輔色6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2"/>
  <sheetViews>
    <sheetView view="pageBreakPreview" zoomScaleSheetLayoutView="100" zoomScalePageLayoutView="0" workbookViewId="0" topLeftCell="A1">
      <pane ySplit="4" topLeftCell="A59" activePane="bottomLeft" state="frozen"/>
      <selection pane="topLeft" activeCell="A1" sqref="A1"/>
      <selection pane="bottomLeft" activeCell="D79" sqref="D79"/>
    </sheetView>
  </sheetViews>
  <sheetFormatPr defaultColWidth="9.00390625" defaultRowHeight="16.5"/>
  <cols>
    <col min="1" max="1" width="14.75390625" style="0" customWidth="1"/>
    <col min="2" max="2" width="11.25390625" style="0" customWidth="1"/>
    <col min="3" max="3" width="9.875" style="0" customWidth="1"/>
    <col min="4" max="4" width="13.625" style="0" customWidth="1"/>
    <col min="5" max="5" width="13.50390625" style="0" customWidth="1"/>
    <col min="6" max="6" width="13.00390625" style="0" customWidth="1"/>
    <col min="7" max="7" width="12.25390625" style="0" customWidth="1"/>
    <col min="8" max="8" width="11.375" style="0" customWidth="1"/>
    <col min="9" max="9" width="17.625" style="0" hidden="1" customWidth="1"/>
    <col min="10" max="10" width="9.25390625" style="0" bestFit="1" customWidth="1"/>
  </cols>
  <sheetData>
    <row r="1" spans="1:8" ht="30.75" customHeight="1" thickBot="1">
      <c r="A1" s="210" t="s">
        <v>8</v>
      </c>
      <c r="B1" s="210"/>
      <c r="C1" s="210"/>
      <c r="D1" s="210"/>
      <c r="E1" s="211"/>
      <c r="F1" s="211"/>
      <c r="G1" s="211"/>
      <c r="H1" s="211"/>
    </row>
    <row r="2" spans="1:8" ht="23.25" customHeight="1">
      <c r="A2" s="216" t="s">
        <v>42</v>
      </c>
      <c r="B2" s="219" t="s">
        <v>43</v>
      </c>
      <c r="C2" s="220"/>
      <c r="D2" s="221" t="s">
        <v>44</v>
      </c>
      <c r="E2" s="221" t="s">
        <v>45</v>
      </c>
      <c r="F2" s="221" t="s">
        <v>46</v>
      </c>
      <c r="G2" s="214" t="s">
        <v>47</v>
      </c>
      <c r="H2" s="215"/>
    </row>
    <row r="3" spans="1:8" ht="45" customHeight="1">
      <c r="A3" s="217"/>
      <c r="B3" s="53" t="s">
        <v>48</v>
      </c>
      <c r="C3" s="54" t="s">
        <v>49</v>
      </c>
      <c r="D3" s="222"/>
      <c r="E3" s="222"/>
      <c r="F3" s="222"/>
      <c r="G3" s="54" t="s">
        <v>48</v>
      </c>
      <c r="H3" s="130" t="s">
        <v>50</v>
      </c>
    </row>
    <row r="4" spans="1:8" ht="21.75" customHeight="1" thickBot="1">
      <c r="A4" s="218"/>
      <c r="B4" s="55" t="s">
        <v>51</v>
      </c>
      <c r="C4" s="56" t="s">
        <v>52</v>
      </c>
      <c r="D4" s="56" t="s">
        <v>53</v>
      </c>
      <c r="E4" s="57" t="s">
        <v>54</v>
      </c>
      <c r="F4" s="56" t="s">
        <v>55</v>
      </c>
      <c r="G4" s="56" t="s">
        <v>54</v>
      </c>
      <c r="H4" s="146" t="s">
        <v>56</v>
      </c>
    </row>
    <row r="5" spans="1:9" s="1" customFormat="1" ht="16.5" customHeight="1" hidden="1">
      <c r="A5" s="131" t="s">
        <v>7</v>
      </c>
      <c r="B5" s="58">
        <v>1150</v>
      </c>
      <c r="C5" s="59">
        <v>52.4</v>
      </c>
      <c r="D5" s="48">
        <v>86088</v>
      </c>
      <c r="E5" s="60">
        <v>15314</v>
      </c>
      <c r="F5" s="61">
        <v>97992</v>
      </c>
      <c r="G5" s="49">
        <v>7726</v>
      </c>
      <c r="H5" s="147">
        <v>26083</v>
      </c>
      <c r="I5" s="212" t="s">
        <v>17</v>
      </c>
    </row>
    <row r="6" spans="1:9" s="1" customFormat="1" ht="16.5" customHeight="1" hidden="1">
      <c r="A6" s="131" t="s">
        <v>0</v>
      </c>
      <c r="B6" s="58">
        <v>1204</v>
      </c>
      <c r="C6" s="59">
        <v>54.5</v>
      </c>
      <c r="D6" s="48">
        <v>95826</v>
      </c>
      <c r="E6" s="60">
        <v>28366</v>
      </c>
      <c r="F6" s="61">
        <v>113969</v>
      </c>
      <c r="G6" s="49">
        <v>5825</v>
      </c>
      <c r="H6" s="148">
        <v>22752</v>
      </c>
      <c r="I6" s="212"/>
    </row>
    <row r="7" spans="1:9" s="1" customFormat="1" ht="16.5" customHeight="1" hidden="1">
      <c r="A7" s="131" t="s">
        <v>1</v>
      </c>
      <c r="B7" s="58">
        <v>1264</v>
      </c>
      <c r="C7" s="59">
        <v>56.8</v>
      </c>
      <c r="D7" s="48">
        <v>105838</v>
      </c>
      <c r="E7" s="60">
        <v>38068</v>
      </c>
      <c r="F7" s="61">
        <v>130537</v>
      </c>
      <c r="G7" s="49">
        <v>5056</v>
      </c>
      <c r="H7" s="148">
        <v>23129</v>
      </c>
      <c r="I7" s="212"/>
    </row>
    <row r="8" spans="1:9" s="1" customFormat="1" ht="16.5" customHeight="1" hidden="1">
      <c r="A8" s="131" t="s">
        <v>2</v>
      </c>
      <c r="B8" s="58">
        <v>1286</v>
      </c>
      <c r="C8" s="59">
        <v>57.4</v>
      </c>
      <c r="D8" s="48">
        <v>151442</v>
      </c>
      <c r="E8" s="60">
        <v>42470</v>
      </c>
      <c r="F8" s="61">
        <v>147022</v>
      </c>
      <c r="G8" s="49">
        <v>5039</v>
      </c>
      <c r="H8" s="148">
        <v>20644</v>
      </c>
      <c r="I8" s="212"/>
    </row>
    <row r="9" spans="1:9" s="1" customFormat="1" ht="16.5" customHeight="1" hidden="1">
      <c r="A9" s="131" t="s">
        <v>3</v>
      </c>
      <c r="B9" s="58">
        <v>1310</v>
      </c>
      <c r="C9" s="59">
        <v>58.2</v>
      </c>
      <c r="D9" s="48">
        <v>215391</v>
      </c>
      <c r="E9" s="60">
        <v>38938</v>
      </c>
      <c r="F9" s="61">
        <v>151917</v>
      </c>
      <c r="G9" s="49">
        <v>4957</v>
      </c>
      <c r="H9" s="148">
        <v>23866</v>
      </c>
      <c r="I9" s="212"/>
    </row>
    <row r="10" spans="1:9" s="1" customFormat="1" ht="16.5" customHeight="1" hidden="1">
      <c r="A10" s="131" t="s">
        <v>4</v>
      </c>
      <c r="B10" s="58">
        <v>1336</v>
      </c>
      <c r="C10" s="59">
        <v>59.1</v>
      </c>
      <c r="D10" s="48">
        <v>307674</v>
      </c>
      <c r="E10" s="60">
        <v>48030</v>
      </c>
      <c r="F10" s="61">
        <v>153295</v>
      </c>
      <c r="G10" s="49">
        <v>5124</v>
      </c>
      <c r="H10" s="148">
        <v>25092</v>
      </c>
      <c r="I10" s="212"/>
    </row>
    <row r="11" spans="1:9" s="1" customFormat="1" ht="16.5" customHeight="1" hidden="1">
      <c r="A11" s="131" t="s">
        <v>5</v>
      </c>
      <c r="B11" s="58">
        <v>1353</v>
      </c>
      <c r="C11" s="59">
        <v>59.6</v>
      </c>
      <c r="D11" s="48">
        <v>313167</v>
      </c>
      <c r="E11" s="60">
        <v>50121</v>
      </c>
      <c r="F11" s="61">
        <v>157406</v>
      </c>
      <c r="G11" s="49">
        <v>4246</v>
      </c>
      <c r="H11" s="148">
        <v>12051</v>
      </c>
      <c r="I11" s="212"/>
    </row>
    <row r="12" spans="1:9" s="1" customFormat="1" ht="16.5" customHeight="1" hidden="1">
      <c r="A12" s="131" t="s">
        <v>6</v>
      </c>
      <c r="B12" s="58">
        <v>1362</v>
      </c>
      <c r="C12" s="59">
        <v>59.8</v>
      </c>
      <c r="D12" s="48">
        <v>346829</v>
      </c>
      <c r="E12" s="60">
        <v>57930</v>
      </c>
      <c r="F12" s="61">
        <v>166135</v>
      </c>
      <c r="G12" s="49">
        <v>5031</v>
      </c>
      <c r="H12" s="148">
        <v>5205</v>
      </c>
      <c r="I12" s="212"/>
    </row>
    <row r="13" spans="1:9" s="1" customFormat="1" ht="16.5" customHeight="1" hidden="1">
      <c r="A13" s="132" t="s">
        <v>11</v>
      </c>
      <c r="B13" s="58">
        <v>1347</v>
      </c>
      <c r="C13" s="47">
        <v>58.9</v>
      </c>
      <c r="D13" s="48">
        <v>384102</v>
      </c>
      <c r="E13" s="60">
        <v>63449</v>
      </c>
      <c r="F13" s="62">
        <v>166954</v>
      </c>
      <c r="G13" s="49">
        <v>4662</v>
      </c>
      <c r="H13" s="148">
        <v>5598</v>
      </c>
      <c r="I13" s="212"/>
    </row>
    <row r="14" spans="1:9" s="1" customFormat="1" ht="16.5" customHeight="1" hidden="1">
      <c r="A14" s="132" t="s">
        <v>12</v>
      </c>
      <c r="B14" s="58">
        <v>1330</v>
      </c>
      <c r="C14" s="63">
        <v>57.94</v>
      </c>
      <c r="D14" s="48">
        <v>387945</v>
      </c>
      <c r="E14" s="60">
        <v>61516</v>
      </c>
      <c r="F14" s="64">
        <v>158467</v>
      </c>
      <c r="G14" s="49">
        <v>2861</v>
      </c>
      <c r="H14" s="148">
        <v>6474</v>
      </c>
      <c r="I14" s="213"/>
    </row>
    <row r="15" spans="1:9" s="1" customFormat="1" ht="21" customHeight="1">
      <c r="A15" s="133" t="s">
        <v>73</v>
      </c>
      <c r="B15" s="67">
        <v>1308</v>
      </c>
      <c r="C15" s="68">
        <v>56.787330797966106</v>
      </c>
      <c r="D15" s="69">
        <v>399388</v>
      </c>
      <c r="E15" s="70">
        <v>69798</v>
      </c>
      <c r="F15" s="71">
        <v>165775</v>
      </c>
      <c r="G15" s="72">
        <v>1656</v>
      </c>
      <c r="H15" s="149">
        <v>6719</v>
      </c>
      <c r="I15" s="213"/>
    </row>
    <row r="16" spans="1:9" s="1" customFormat="1" ht="21" customHeight="1">
      <c r="A16" s="133" t="s">
        <v>72</v>
      </c>
      <c r="B16" s="67">
        <v>1282</v>
      </c>
      <c r="C16" s="68">
        <v>55.454668843620084</v>
      </c>
      <c r="D16" s="69">
        <v>419273</v>
      </c>
      <c r="E16" s="70">
        <v>88804</v>
      </c>
      <c r="F16" s="71">
        <v>165225</v>
      </c>
      <c r="G16" s="72">
        <v>1339</v>
      </c>
      <c r="H16" s="149">
        <v>5868</v>
      </c>
      <c r="I16" s="213"/>
    </row>
    <row r="17" spans="1:9" s="1" customFormat="1" ht="21" customHeight="1">
      <c r="A17" s="133" t="s">
        <v>75</v>
      </c>
      <c r="B17" s="67">
        <v>1270</v>
      </c>
      <c r="C17" s="68">
        <v>54.813628267149774</v>
      </c>
      <c r="D17" s="69">
        <v>465085</v>
      </c>
      <c r="E17" s="70">
        <v>105826</v>
      </c>
      <c r="F17" s="71">
        <v>167749</v>
      </c>
      <c r="G17" s="72">
        <v>1085</v>
      </c>
      <c r="H17" s="149">
        <v>281</v>
      </c>
      <c r="I17" s="213"/>
    </row>
    <row r="18" spans="1:9" s="1" customFormat="1" ht="21" customHeight="1">
      <c r="A18" s="133" t="s">
        <v>74</v>
      </c>
      <c r="B18" s="67">
        <v>1268</v>
      </c>
      <c r="C18" s="68">
        <v>54.59113472636624</v>
      </c>
      <c r="D18" s="69">
        <v>466671</v>
      </c>
      <c r="E18" s="70">
        <v>123321</v>
      </c>
      <c r="F18" s="71">
        <v>172124</v>
      </c>
      <c r="G18" s="72">
        <v>928</v>
      </c>
      <c r="H18" s="150">
        <v>36</v>
      </c>
      <c r="I18" s="213"/>
    </row>
    <row r="19" spans="1:9" s="1" customFormat="1" ht="21" customHeight="1">
      <c r="A19" s="133" t="s">
        <v>70</v>
      </c>
      <c r="B19" s="67">
        <v>1241</v>
      </c>
      <c r="C19" s="73">
        <v>53.2</v>
      </c>
      <c r="D19" s="69">
        <v>494147</v>
      </c>
      <c r="E19" s="70">
        <v>118102</v>
      </c>
      <c r="F19" s="71">
        <v>161736</v>
      </c>
      <c r="G19" s="72">
        <v>762</v>
      </c>
      <c r="H19" s="150">
        <v>3</v>
      </c>
      <c r="I19" s="213"/>
    </row>
    <row r="20" spans="1:9" s="1" customFormat="1" ht="21" customHeight="1">
      <c r="A20" s="133" t="s">
        <v>69</v>
      </c>
      <c r="B20" s="67">
        <v>1223</v>
      </c>
      <c r="C20" s="73">
        <v>52.3</v>
      </c>
      <c r="D20" s="69">
        <v>380052</v>
      </c>
      <c r="E20" s="70">
        <v>109373</v>
      </c>
      <c r="F20" s="72">
        <v>144673</v>
      </c>
      <c r="G20" s="72">
        <v>284</v>
      </c>
      <c r="H20" s="150">
        <v>4</v>
      </c>
      <c r="I20" s="213"/>
    </row>
    <row r="21" spans="1:9" ht="21" customHeight="1">
      <c r="A21" s="133" t="s">
        <v>68</v>
      </c>
      <c r="B21" s="67">
        <v>1210</v>
      </c>
      <c r="C21" s="73">
        <v>51.4</v>
      </c>
      <c r="D21" s="69">
        <v>296079</v>
      </c>
      <c r="E21" s="70">
        <v>104324</v>
      </c>
      <c r="F21" s="72">
        <v>138384</v>
      </c>
      <c r="G21" s="72">
        <v>284</v>
      </c>
      <c r="H21" s="151">
        <v>0</v>
      </c>
      <c r="I21" s="213"/>
    </row>
    <row r="22" spans="1:9" ht="21" customHeight="1">
      <c r="A22" s="134" t="s">
        <v>30</v>
      </c>
      <c r="B22" s="67">
        <v>1189</v>
      </c>
      <c r="C22" s="73">
        <v>50.6</v>
      </c>
      <c r="D22" s="69">
        <v>233069</v>
      </c>
      <c r="E22" s="70">
        <v>14423</v>
      </c>
      <c r="F22" s="72">
        <v>146442</v>
      </c>
      <c r="G22" s="72">
        <v>282</v>
      </c>
      <c r="H22" s="150">
        <v>0</v>
      </c>
      <c r="I22" s="16"/>
    </row>
    <row r="23" spans="1:8" s="16" customFormat="1" ht="21" customHeight="1">
      <c r="A23" s="135" t="s">
        <v>18</v>
      </c>
      <c r="B23" s="67">
        <v>1170</v>
      </c>
      <c r="C23" s="73">
        <v>49.7</v>
      </c>
      <c r="D23" s="69">
        <v>182973</v>
      </c>
      <c r="E23" s="70">
        <v>13753</v>
      </c>
      <c r="F23" s="72">
        <v>169004</v>
      </c>
      <c r="G23" s="72">
        <v>1147</v>
      </c>
      <c r="H23" s="150">
        <v>0</v>
      </c>
    </row>
    <row r="24" spans="1:19" s="87" customFormat="1" ht="21" customHeight="1">
      <c r="A24" s="136" t="s">
        <v>28</v>
      </c>
      <c r="B24" s="152">
        <f>B36</f>
        <v>1145.3595</v>
      </c>
      <c r="C24" s="122">
        <f>C36</f>
        <v>48.59142462121297</v>
      </c>
      <c r="D24" s="78">
        <f>SUM(D25:D36)</f>
        <v>136684.5043</v>
      </c>
      <c r="E24" s="79">
        <f>E36</f>
        <v>13073</v>
      </c>
      <c r="F24" s="79">
        <f>F36</f>
        <v>152179</v>
      </c>
      <c r="G24" s="79">
        <f>G36</f>
        <v>1175</v>
      </c>
      <c r="H24" s="153">
        <f>SUM(H25:H36)</f>
        <v>5.344100000000001</v>
      </c>
      <c r="I24" s="85"/>
      <c r="J24" s="86"/>
      <c r="K24" s="86"/>
      <c r="L24" s="86"/>
      <c r="M24" s="86"/>
      <c r="N24" s="86"/>
      <c r="O24" s="86"/>
      <c r="P24" s="86"/>
      <c r="Q24" s="86"/>
      <c r="R24" s="86"/>
      <c r="S24" s="86"/>
    </row>
    <row r="25" spans="1:19" s="16" customFormat="1" ht="21" customHeight="1" hidden="1">
      <c r="A25" s="137" t="s">
        <v>13</v>
      </c>
      <c r="B25" s="154">
        <f>11679157/10000</f>
        <v>1167.9157</v>
      </c>
      <c r="C25" s="43">
        <f>(11679157/23543346)*100</f>
        <v>49.60703971304674</v>
      </c>
      <c r="D25" s="40">
        <f>123167140/10000</f>
        <v>12316.714</v>
      </c>
      <c r="E25" s="41">
        <v>13720</v>
      </c>
      <c r="F25" s="44">
        <v>168273</v>
      </c>
      <c r="G25" s="41">
        <v>1192</v>
      </c>
      <c r="H25" s="155">
        <f>440688/1000000</f>
        <v>0.440688</v>
      </c>
      <c r="I25"/>
      <c r="J25"/>
      <c r="K25"/>
      <c r="L25"/>
      <c r="M25"/>
      <c r="N25"/>
      <c r="O25"/>
      <c r="P25"/>
      <c r="Q25"/>
      <c r="R25"/>
      <c r="S25"/>
    </row>
    <row r="26" spans="1:19" s="16" customFormat="1" ht="21" customHeight="1" hidden="1">
      <c r="A26" s="137" t="s">
        <v>15</v>
      </c>
      <c r="B26" s="154">
        <f>11662011/10000</f>
        <v>1166.2011</v>
      </c>
      <c r="C26" s="43">
        <f>(11662011/23544189)*100</f>
        <v>49.53243876864903</v>
      </c>
      <c r="D26" s="40">
        <f>101754641/10000</f>
        <v>10175.4641</v>
      </c>
      <c r="E26" s="41">
        <v>13658</v>
      </c>
      <c r="F26" s="44">
        <v>168646</v>
      </c>
      <c r="G26" s="41">
        <v>1202</v>
      </c>
      <c r="H26" s="155">
        <f>445808/1000000</f>
        <v>0.445808</v>
      </c>
      <c r="I26"/>
      <c r="J26"/>
      <c r="K26"/>
      <c r="L26"/>
      <c r="M26"/>
      <c r="N26"/>
      <c r="O26"/>
      <c r="P26"/>
      <c r="Q26"/>
      <c r="R26"/>
      <c r="S26"/>
    </row>
    <row r="27" spans="1:19" s="16" customFormat="1" ht="21" customHeight="1" hidden="1">
      <c r="A27" s="137" t="s">
        <v>31</v>
      </c>
      <c r="B27" s="154">
        <f>11641954/10000</f>
        <v>1164.1954</v>
      </c>
      <c r="C27" s="43">
        <f>(11641954/23545680)*100</f>
        <v>49.444118836236626</v>
      </c>
      <c r="D27" s="40">
        <f>110235042/10000</f>
        <v>11023.5042</v>
      </c>
      <c r="E27" s="41">
        <v>13664</v>
      </c>
      <c r="F27" s="44">
        <v>168579</v>
      </c>
      <c r="G27" s="41">
        <v>1174</v>
      </c>
      <c r="H27" s="155">
        <f>445296/1000000</f>
        <v>0.445296</v>
      </c>
      <c r="I27" s="21"/>
      <c r="J27"/>
      <c r="K27"/>
      <c r="L27"/>
      <c r="M27"/>
      <c r="N27"/>
      <c r="O27"/>
      <c r="P27"/>
      <c r="Q27"/>
      <c r="R27"/>
      <c r="S27"/>
    </row>
    <row r="28" spans="1:16" s="16" customFormat="1" ht="21" customHeight="1" hidden="1">
      <c r="A28" s="138" t="s">
        <v>16</v>
      </c>
      <c r="B28" s="156">
        <f>11623527/10000</f>
        <v>1162.3527</v>
      </c>
      <c r="C28" s="43">
        <f>(11623527/23547448)*100</f>
        <v>49.36215168624643</v>
      </c>
      <c r="D28" s="45">
        <f>128358171/10000</f>
        <v>12835.8171</v>
      </c>
      <c r="E28" s="45">
        <v>13560</v>
      </c>
      <c r="F28" s="45">
        <v>168690</v>
      </c>
      <c r="G28" s="45">
        <v>1190</v>
      </c>
      <c r="H28" s="155">
        <f>451440/1000000</f>
        <v>0.45144</v>
      </c>
      <c r="I28" s="22"/>
      <c r="J28" s="4"/>
      <c r="K28" s="17"/>
      <c r="L28" s="18"/>
      <c r="M28" s="4"/>
      <c r="N28" s="4"/>
      <c r="O28" s="4"/>
      <c r="P28" s="4"/>
    </row>
    <row r="29" spans="1:16" s="16" customFormat="1" ht="21" customHeight="1" hidden="1">
      <c r="A29" s="139" t="s">
        <v>22</v>
      </c>
      <c r="B29" s="157">
        <f>11607565/10000</f>
        <v>1160.7565</v>
      </c>
      <c r="C29" s="46">
        <f>(11607565/23550077)*100</f>
        <v>49.2888621977754</v>
      </c>
      <c r="D29" s="40">
        <f>133390413/10000</f>
        <v>13339.0413</v>
      </c>
      <c r="E29" s="40">
        <v>13486</v>
      </c>
      <c r="F29" s="40">
        <v>168709</v>
      </c>
      <c r="G29" s="40">
        <v>1184</v>
      </c>
      <c r="H29" s="155">
        <f>448880/1000000</f>
        <v>0.44888</v>
      </c>
      <c r="I29" s="22"/>
      <c r="J29" s="4"/>
      <c r="K29" s="17"/>
      <c r="L29" s="18"/>
      <c r="M29" s="4"/>
      <c r="N29" s="4"/>
      <c r="O29" s="4"/>
      <c r="P29" s="4"/>
    </row>
    <row r="30" spans="1:16" s="16" customFormat="1" ht="21" customHeight="1" hidden="1">
      <c r="A30" s="140" t="s">
        <v>59</v>
      </c>
      <c r="B30" s="156">
        <f>11590147/10000</f>
        <v>1159.0147</v>
      </c>
      <c r="C30" s="43">
        <f>(11590147/23552470)*100</f>
        <v>49.209900277975095</v>
      </c>
      <c r="D30" s="45">
        <f>126242380/10000</f>
        <v>12624.238</v>
      </c>
      <c r="E30" s="45">
        <v>13741</v>
      </c>
      <c r="F30" s="45">
        <v>168530</v>
      </c>
      <c r="G30" s="45">
        <v>1182</v>
      </c>
      <c r="H30" s="155">
        <f>446832/1000000</f>
        <v>0.446832</v>
      </c>
      <c r="I30" s="22"/>
      <c r="J30" s="4"/>
      <c r="K30" s="17"/>
      <c r="L30" s="18"/>
      <c r="M30" s="4"/>
      <c r="N30" s="4"/>
      <c r="O30" s="4"/>
      <c r="P30" s="4"/>
    </row>
    <row r="31" spans="1:16" s="16" customFormat="1" ht="21" customHeight="1" hidden="1">
      <c r="A31" s="140" t="s">
        <v>23</v>
      </c>
      <c r="B31" s="156">
        <f>11571457/10000</f>
        <v>1157.1457</v>
      </c>
      <c r="C31" s="43">
        <f>(11571457/23554803)*100</f>
        <v>49.125679378426554</v>
      </c>
      <c r="D31" s="45">
        <f>115407919/10000</f>
        <v>11540.7919</v>
      </c>
      <c r="E31" s="45">
        <v>13451</v>
      </c>
      <c r="F31" s="45">
        <v>167470</v>
      </c>
      <c r="G31" s="45">
        <v>1179</v>
      </c>
      <c r="H31" s="155">
        <f>446832/1000000</f>
        <v>0.446832</v>
      </c>
      <c r="I31" s="22"/>
      <c r="J31" s="4"/>
      <c r="K31" s="17"/>
      <c r="L31" s="18"/>
      <c r="M31" s="4"/>
      <c r="N31" s="4"/>
      <c r="O31" s="4"/>
      <c r="P31" s="4"/>
    </row>
    <row r="32" spans="1:16" s="38" customFormat="1" ht="21" customHeight="1" hidden="1">
      <c r="A32" s="141" t="s">
        <v>61</v>
      </c>
      <c r="B32" s="157">
        <f>11570693/10000</f>
        <v>1157.0693</v>
      </c>
      <c r="C32" s="46">
        <f>(11570693/23556169)*100</f>
        <v>49.119587314898276</v>
      </c>
      <c r="D32" s="40">
        <f>105926464/10000</f>
        <v>10592.6464</v>
      </c>
      <c r="E32" s="40">
        <v>13299</v>
      </c>
      <c r="F32" s="40">
        <v>157494</v>
      </c>
      <c r="G32" s="40">
        <v>1182</v>
      </c>
      <c r="H32" s="155">
        <f>445808/1000000</f>
        <v>0.445808</v>
      </c>
      <c r="I32" s="37"/>
      <c r="J32" s="4"/>
      <c r="K32" s="17"/>
      <c r="L32" s="18"/>
      <c r="M32" s="4"/>
      <c r="N32" s="4"/>
      <c r="O32" s="4"/>
      <c r="P32" s="4"/>
    </row>
    <row r="33" spans="1:16" s="16" customFormat="1" ht="21" customHeight="1" hidden="1">
      <c r="A33" s="137" t="s">
        <v>60</v>
      </c>
      <c r="B33" s="158">
        <f>11530064/10000</f>
        <v>1153.0064</v>
      </c>
      <c r="C33" s="42">
        <f>(11530064/23557467)*100</f>
        <v>48.94441325122094</v>
      </c>
      <c r="D33" s="40">
        <f>112746190/10000</f>
        <v>11274.619</v>
      </c>
      <c r="E33" s="41">
        <v>13224</v>
      </c>
      <c r="F33" s="44">
        <v>157084</v>
      </c>
      <c r="G33" s="41">
        <v>1181</v>
      </c>
      <c r="H33" s="155">
        <f>445808/1000000</f>
        <v>0.445808</v>
      </c>
      <c r="I33" s="22"/>
      <c r="J33" s="4"/>
      <c r="K33" s="17"/>
      <c r="L33" s="18"/>
      <c r="M33" s="4"/>
      <c r="N33" s="4"/>
      <c r="O33" s="4"/>
      <c r="P33" s="4"/>
    </row>
    <row r="34" spans="1:16" s="16" customFormat="1" ht="21" customHeight="1" hidden="1">
      <c r="A34" s="137" t="s">
        <v>62</v>
      </c>
      <c r="B34" s="158">
        <f>11512831/10000</f>
        <v>1151.2831</v>
      </c>
      <c r="C34" s="42">
        <f>(11512831/23562318)*100</f>
        <v>48.861198630796856</v>
      </c>
      <c r="D34" s="40">
        <f>100155433/10000</f>
        <v>10015.5433</v>
      </c>
      <c r="E34" s="41">
        <v>13149</v>
      </c>
      <c r="F34" s="44">
        <v>152853</v>
      </c>
      <c r="G34" s="41">
        <v>1176</v>
      </c>
      <c r="H34" s="155">
        <f>442224/1000000</f>
        <v>0.442224</v>
      </c>
      <c r="I34" s="22"/>
      <c r="J34" s="4"/>
      <c r="K34" s="17"/>
      <c r="L34" s="18"/>
      <c r="M34" s="4"/>
      <c r="N34" s="4"/>
      <c r="O34" s="4"/>
      <c r="P34" s="4"/>
    </row>
    <row r="35" spans="1:16" s="16" customFormat="1" ht="21" customHeight="1" hidden="1">
      <c r="A35" s="137" t="s">
        <v>63</v>
      </c>
      <c r="B35" s="158">
        <f>11483148/10000</f>
        <v>1148.3148</v>
      </c>
      <c r="C35" s="42">
        <f>(11483148/23566853)*100</f>
        <v>48.72584387911275</v>
      </c>
      <c r="D35" s="40">
        <f>100995423/10000</f>
        <v>10099.5423</v>
      </c>
      <c r="E35" s="41">
        <v>13140</v>
      </c>
      <c r="F35" s="44">
        <v>152372</v>
      </c>
      <c r="G35" s="41">
        <v>1180</v>
      </c>
      <c r="H35" s="155">
        <f>443248/1000000</f>
        <v>0.443248</v>
      </c>
      <c r="I35" s="22"/>
      <c r="J35" s="4"/>
      <c r="K35" s="17"/>
      <c r="L35" s="18"/>
      <c r="M35" s="4"/>
      <c r="N35" s="4"/>
      <c r="O35" s="4"/>
      <c r="P35" s="4"/>
    </row>
    <row r="36" spans="1:16" s="16" customFormat="1" ht="21" customHeight="1" hidden="1">
      <c r="A36" s="137" t="s">
        <v>64</v>
      </c>
      <c r="B36" s="158">
        <f>11453595/10000</f>
        <v>1145.3595</v>
      </c>
      <c r="C36" s="42">
        <f>(11453595/23571227)*100</f>
        <v>48.59142462121297</v>
      </c>
      <c r="D36" s="40">
        <f>108465827/10000</f>
        <v>10846.5827</v>
      </c>
      <c r="E36" s="41">
        <v>13073</v>
      </c>
      <c r="F36" s="44">
        <v>152179</v>
      </c>
      <c r="G36" s="41">
        <v>1175</v>
      </c>
      <c r="H36" s="155">
        <f>441236/1000000</f>
        <v>0.441236</v>
      </c>
      <c r="I36" s="22"/>
      <c r="J36" s="4"/>
      <c r="K36" s="17"/>
      <c r="L36" s="18"/>
      <c r="M36" s="4"/>
      <c r="N36" s="4"/>
      <c r="O36" s="4"/>
      <c r="P36" s="4"/>
    </row>
    <row r="37" spans="1:16" s="84" customFormat="1" ht="21" customHeight="1">
      <c r="A37" s="142" t="s">
        <v>65</v>
      </c>
      <c r="B37" s="159">
        <f>B49</f>
        <v>1120.8833</v>
      </c>
      <c r="C37" s="124">
        <f>C49</f>
        <v>47.51733991178575</v>
      </c>
      <c r="D37" s="108">
        <f>SUM(D38:D49)</f>
        <v>108830.3125</v>
      </c>
      <c r="E37" s="108">
        <f>E49</f>
        <v>9136</v>
      </c>
      <c r="F37" s="108">
        <f>F49</f>
        <v>153633</v>
      </c>
      <c r="G37" s="108">
        <f>G49</f>
        <v>0</v>
      </c>
      <c r="H37" s="160">
        <f>SUM(H38:H49)</f>
        <v>0.877864</v>
      </c>
      <c r="I37" s="80"/>
      <c r="J37" s="81"/>
      <c r="K37" s="82"/>
      <c r="L37" s="83"/>
      <c r="M37" s="81"/>
      <c r="N37" s="81"/>
      <c r="O37" s="81"/>
      <c r="P37" s="81"/>
    </row>
    <row r="38" spans="1:16" s="16" customFormat="1" ht="21" customHeight="1" hidden="1">
      <c r="A38" s="137" t="s">
        <v>13</v>
      </c>
      <c r="B38" s="52">
        <f>11427815/10000</f>
        <v>1142.7815</v>
      </c>
      <c r="C38" s="47">
        <f>(11427815/23572049)*100</f>
        <v>48.480363332012416</v>
      </c>
      <c r="D38" s="48">
        <f>97947669/10000</f>
        <v>9794.7669</v>
      </c>
      <c r="E38" s="49">
        <v>12994</v>
      </c>
      <c r="F38" s="50">
        <v>152096</v>
      </c>
      <c r="G38" s="49">
        <v>1173</v>
      </c>
      <c r="H38" s="161">
        <f>440212/1000000</f>
        <v>0.440212</v>
      </c>
      <c r="I38" s="22"/>
      <c r="J38" s="4"/>
      <c r="K38" s="17"/>
      <c r="L38" s="18"/>
      <c r="M38" s="4"/>
      <c r="N38" s="4"/>
      <c r="O38" s="4"/>
      <c r="P38" s="4"/>
    </row>
    <row r="39" spans="1:16" s="16" customFormat="1" ht="21" customHeight="1" hidden="1">
      <c r="A39" s="137" t="s">
        <v>67</v>
      </c>
      <c r="B39" s="52">
        <f>11409992/10000</f>
        <v>1140.9992</v>
      </c>
      <c r="C39" s="47">
        <f>(11409992/23571408)*100</f>
        <v>48.406068911963175</v>
      </c>
      <c r="D39" s="48">
        <f>87879578/10000</f>
        <v>8787.9578</v>
      </c>
      <c r="E39" s="49">
        <v>12539</v>
      </c>
      <c r="F39" s="50">
        <v>152263</v>
      </c>
      <c r="G39" s="49">
        <v>1168</v>
      </c>
      <c r="H39" s="161">
        <f>437652/1000000</f>
        <v>0.437652</v>
      </c>
      <c r="I39" s="22"/>
      <c r="J39" s="4"/>
      <c r="K39" s="17"/>
      <c r="L39" s="18"/>
      <c r="M39" s="4"/>
      <c r="N39" s="4"/>
      <c r="O39" s="4"/>
      <c r="P39" s="4"/>
    </row>
    <row r="40" spans="1:16" s="16" customFormat="1" ht="21" customHeight="1" hidden="1">
      <c r="A40" s="137" t="s">
        <v>21</v>
      </c>
      <c r="B40" s="52">
        <f>11388364/10000</f>
        <v>1138.8364</v>
      </c>
      <c r="C40" s="47">
        <f>(11388364/23571990)*100</f>
        <v>48.313120784456466</v>
      </c>
      <c r="D40" s="48">
        <f>88402811/10000</f>
        <v>8840.2811</v>
      </c>
      <c r="E40" s="49">
        <v>12166</v>
      </c>
      <c r="F40" s="50">
        <v>152223</v>
      </c>
      <c r="G40" s="49">
        <v>0</v>
      </c>
      <c r="H40" s="162">
        <v>0</v>
      </c>
      <c r="I40" s="22"/>
      <c r="J40" s="4"/>
      <c r="K40" s="17"/>
      <c r="L40" s="18"/>
      <c r="M40" s="4"/>
      <c r="N40" s="4"/>
      <c r="O40" s="4"/>
      <c r="P40" s="4"/>
    </row>
    <row r="41" spans="1:16" s="16" customFormat="1" ht="21" customHeight="1" hidden="1">
      <c r="A41" s="138" t="s">
        <v>16</v>
      </c>
      <c r="B41" s="52">
        <f>11373267/10000</f>
        <v>1137.3267</v>
      </c>
      <c r="C41" s="47">
        <f>(11373267/23571497)*100</f>
        <v>48.25008356490893</v>
      </c>
      <c r="D41" s="48">
        <f>84498778/10000</f>
        <v>8449.8778</v>
      </c>
      <c r="E41" s="49">
        <v>11935</v>
      </c>
      <c r="F41" s="50">
        <v>152292</v>
      </c>
      <c r="G41" s="49">
        <v>0</v>
      </c>
      <c r="H41" s="162">
        <v>0</v>
      </c>
      <c r="I41" s="22"/>
      <c r="J41" s="4"/>
      <c r="K41" s="17"/>
      <c r="L41" s="18"/>
      <c r="M41" s="4"/>
      <c r="N41" s="4"/>
      <c r="O41" s="4"/>
      <c r="P41" s="4"/>
    </row>
    <row r="42" spans="1:16" s="16" customFormat="1" ht="21" customHeight="1" hidden="1">
      <c r="A42" s="139" t="s">
        <v>22</v>
      </c>
      <c r="B42" s="52">
        <f>11356713/10000</f>
        <v>1135.6713</v>
      </c>
      <c r="C42" s="47">
        <f>(11356713/23572415)*100</f>
        <v>48.17797837005669</v>
      </c>
      <c r="D42" s="48">
        <f>99754373/10000</f>
        <v>9975.4373</v>
      </c>
      <c r="E42" s="49">
        <v>11777</v>
      </c>
      <c r="F42" s="50">
        <v>152215</v>
      </c>
      <c r="G42" s="49">
        <v>0</v>
      </c>
      <c r="H42" s="162">
        <v>0</v>
      </c>
      <c r="I42" s="22"/>
      <c r="J42" s="4"/>
      <c r="K42" s="17"/>
      <c r="L42" s="18"/>
      <c r="M42" s="4"/>
      <c r="N42" s="4"/>
      <c r="O42" s="4"/>
      <c r="P42" s="4"/>
    </row>
    <row r="43" spans="1:16" s="16" customFormat="1" ht="21" customHeight="1" hidden="1">
      <c r="A43" s="140" t="s">
        <v>59</v>
      </c>
      <c r="B43" s="52">
        <f>11332148/10000</f>
        <v>1133.2148</v>
      </c>
      <c r="C43" s="47">
        <f>(11332148/23574274)*100</f>
        <v>48.06997661942845</v>
      </c>
      <c r="D43" s="48">
        <f>104168119/10000</f>
        <v>10416.8119</v>
      </c>
      <c r="E43" s="49">
        <v>11682</v>
      </c>
      <c r="F43" s="50">
        <v>152519</v>
      </c>
      <c r="G43" s="49">
        <v>0</v>
      </c>
      <c r="H43" s="162">
        <v>0</v>
      </c>
      <c r="I43" s="22"/>
      <c r="J43" s="4"/>
      <c r="K43" s="17"/>
      <c r="L43" s="18"/>
      <c r="M43" s="4"/>
      <c r="N43" s="4"/>
      <c r="O43" s="4"/>
      <c r="P43" s="4"/>
    </row>
    <row r="44" spans="1:16" s="16" customFormat="1" ht="21" customHeight="1" hidden="1">
      <c r="A44" s="140" t="s">
        <v>23</v>
      </c>
      <c r="B44" s="52">
        <f>11309172/10000</f>
        <v>1130.9172</v>
      </c>
      <c r="C44" s="47">
        <f>(11309172/23576705)*100</f>
        <v>47.96756798712967</v>
      </c>
      <c r="D44" s="48">
        <f>97841311/10000</f>
        <v>9784.1311</v>
      </c>
      <c r="E44" s="49">
        <v>11495</v>
      </c>
      <c r="F44" s="50">
        <v>152678</v>
      </c>
      <c r="G44" s="49">
        <v>0</v>
      </c>
      <c r="H44" s="162">
        <v>0</v>
      </c>
      <c r="I44" s="22"/>
      <c r="J44" s="4"/>
      <c r="K44" s="17"/>
      <c r="L44" s="18"/>
      <c r="M44" s="4"/>
      <c r="N44" s="4"/>
      <c r="O44" s="4"/>
      <c r="P44" s="4"/>
    </row>
    <row r="45" spans="1:16" s="16" customFormat="1" ht="21" customHeight="1" hidden="1">
      <c r="A45" s="140" t="s">
        <v>76</v>
      </c>
      <c r="B45" s="52">
        <f>11290783/10000</f>
        <v>1129.0783</v>
      </c>
      <c r="C45" s="47">
        <f>(11290783/23577271)*100</f>
        <v>47.88842186188555</v>
      </c>
      <c r="D45" s="48">
        <f>114290480/10000</f>
        <v>11429.048</v>
      </c>
      <c r="E45" s="49">
        <v>11182</v>
      </c>
      <c r="F45" s="50">
        <v>152751</v>
      </c>
      <c r="G45" s="49">
        <v>0</v>
      </c>
      <c r="H45" s="162">
        <v>0</v>
      </c>
      <c r="I45" s="22"/>
      <c r="J45" s="4"/>
      <c r="K45" s="17"/>
      <c r="L45" s="18"/>
      <c r="M45" s="4"/>
      <c r="N45" s="4"/>
      <c r="O45" s="4"/>
      <c r="P45" s="4"/>
    </row>
    <row r="46" spans="1:16" s="16" customFormat="1" ht="21" customHeight="1" hidden="1">
      <c r="A46" s="140" t="s">
        <v>25</v>
      </c>
      <c r="B46" s="52">
        <f>11272968/10000</f>
        <v>1127.2968</v>
      </c>
      <c r="C46" s="47">
        <f>(11272968/23577488)*100</f>
        <v>47.81242174738887</v>
      </c>
      <c r="D46" s="48">
        <f>98667020/10000</f>
        <v>9866.702</v>
      </c>
      <c r="E46" s="49">
        <v>10707</v>
      </c>
      <c r="F46" s="50">
        <v>153760</v>
      </c>
      <c r="G46" s="49">
        <v>0</v>
      </c>
      <c r="H46" s="162">
        <v>0</v>
      </c>
      <c r="I46" s="22"/>
      <c r="J46" s="4"/>
      <c r="K46" s="17"/>
      <c r="L46" s="18"/>
      <c r="M46" s="4"/>
      <c r="N46" s="4"/>
      <c r="O46" s="4"/>
      <c r="P46" s="4"/>
    </row>
    <row r="47" spans="1:16" s="16" customFormat="1" ht="21" customHeight="1" hidden="1">
      <c r="A47" s="140" t="s">
        <v>77</v>
      </c>
      <c r="B47" s="52">
        <f>11261809/10000</f>
        <v>1126.1809</v>
      </c>
      <c r="C47" s="47">
        <f>(11261809/23580833)*100</f>
        <v>47.75831710440424</v>
      </c>
      <c r="D47" s="48">
        <f>75280467/10000</f>
        <v>7528.0467</v>
      </c>
      <c r="E47" s="49">
        <v>10381</v>
      </c>
      <c r="F47" s="50">
        <v>153827</v>
      </c>
      <c r="G47" s="49">
        <v>0</v>
      </c>
      <c r="H47" s="162">
        <v>0</v>
      </c>
      <c r="I47" s="22"/>
      <c r="J47" s="4"/>
      <c r="K47" s="17"/>
      <c r="L47" s="18"/>
      <c r="M47" s="4"/>
      <c r="N47" s="4"/>
      <c r="O47" s="4"/>
      <c r="P47" s="4"/>
    </row>
    <row r="48" spans="1:16" s="16" customFormat="1" ht="21" customHeight="1" hidden="1">
      <c r="A48" s="140" t="s">
        <v>63</v>
      </c>
      <c r="B48" s="52">
        <f>11233251/10000</f>
        <v>1123.3251</v>
      </c>
      <c r="C48" s="47">
        <f>(11233251/23584865)*100</f>
        <v>47.62906635251039</v>
      </c>
      <c r="D48" s="48">
        <f>65570091/10000</f>
        <v>6557.0091</v>
      </c>
      <c r="E48" s="49">
        <v>9755</v>
      </c>
      <c r="F48" s="50">
        <v>153618</v>
      </c>
      <c r="G48" s="49">
        <v>0</v>
      </c>
      <c r="H48" s="162">
        <v>0</v>
      </c>
      <c r="I48" s="22"/>
      <c r="J48" s="4"/>
      <c r="K48" s="17"/>
      <c r="L48" s="18"/>
      <c r="M48" s="4"/>
      <c r="N48" s="4"/>
      <c r="O48" s="4"/>
      <c r="P48" s="4"/>
    </row>
    <row r="49" spans="1:16" s="16" customFormat="1" ht="21" customHeight="1" hidden="1">
      <c r="A49" s="141" t="s">
        <v>64</v>
      </c>
      <c r="B49" s="52">
        <f>11208833/10000</f>
        <v>1120.8833</v>
      </c>
      <c r="C49" s="47">
        <f>(11208833/23588932)*100</f>
        <v>47.51733991178575</v>
      </c>
      <c r="D49" s="48">
        <f>74002428/10000</f>
        <v>7400.2428</v>
      </c>
      <c r="E49" s="49">
        <v>9136</v>
      </c>
      <c r="F49" s="50">
        <v>153633</v>
      </c>
      <c r="G49" s="49">
        <v>0</v>
      </c>
      <c r="H49" s="162">
        <v>0</v>
      </c>
      <c r="I49" s="22"/>
      <c r="J49" s="4"/>
      <c r="K49" s="17"/>
      <c r="L49" s="18"/>
      <c r="M49" s="4"/>
      <c r="N49" s="4"/>
      <c r="O49" s="4"/>
      <c r="P49" s="4"/>
    </row>
    <row r="50" spans="1:16" s="16" customFormat="1" ht="21" customHeight="1">
      <c r="A50" s="142" t="s">
        <v>87</v>
      </c>
      <c r="B50" s="184">
        <f>B62</f>
        <v>1098.9379</v>
      </c>
      <c r="C50" s="191">
        <f>C62</f>
        <v>46.559008022710216</v>
      </c>
      <c r="D50" s="185">
        <f>SUM(D51:D62)</f>
        <v>69640.78379999999</v>
      </c>
      <c r="E50" s="186">
        <f>E62</f>
        <v>7141</v>
      </c>
      <c r="F50" s="186">
        <f>F62</f>
        <v>149700</v>
      </c>
      <c r="G50" s="186">
        <f>G57</f>
        <v>0</v>
      </c>
      <c r="H50" s="187">
        <f>SUM(H51:H62)</f>
        <v>0</v>
      </c>
      <c r="I50" s="22"/>
      <c r="J50" s="4"/>
      <c r="K50" s="17"/>
      <c r="L50" s="18"/>
      <c r="M50" s="4"/>
      <c r="N50" s="4"/>
      <c r="O50" s="4"/>
      <c r="P50" s="4"/>
    </row>
    <row r="51" spans="1:16" s="16" customFormat="1" ht="21" customHeight="1" hidden="1">
      <c r="A51" s="137" t="s">
        <v>13</v>
      </c>
      <c r="B51" s="52">
        <f>11191529/10000</f>
        <v>1119.1529</v>
      </c>
      <c r="C51" s="47">
        <f>(11191529/23590744)*100</f>
        <v>47.440339312740626</v>
      </c>
      <c r="D51" s="48">
        <f>59467766/10000</f>
        <v>5946.7766</v>
      </c>
      <c r="E51" s="49">
        <v>8693</v>
      </c>
      <c r="F51" s="50">
        <v>153211</v>
      </c>
      <c r="G51" s="49">
        <v>0</v>
      </c>
      <c r="H51" s="162">
        <v>0</v>
      </c>
      <c r="I51" s="22"/>
      <c r="J51" s="4"/>
      <c r="K51" s="17"/>
      <c r="L51" s="18"/>
      <c r="M51" s="4"/>
      <c r="N51" s="4"/>
      <c r="O51" s="4"/>
      <c r="P51" s="4"/>
    </row>
    <row r="52" spans="1:16" s="16" customFormat="1" ht="21" customHeight="1" hidden="1">
      <c r="A52" s="137" t="s">
        <v>15</v>
      </c>
      <c r="B52" s="52">
        <f>11176076/10000</f>
        <v>1117.6076</v>
      </c>
      <c r="C52" s="47">
        <f>(11176076/23590004)*100</f>
        <v>47.376320919657324</v>
      </c>
      <c r="D52" s="48">
        <f>53301426/10000</f>
        <v>5330.1426</v>
      </c>
      <c r="E52" s="49">
        <v>8539</v>
      </c>
      <c r="F52" s="50">
        <v>152887</v>
      </c>
      <c r="G52" s="49">
        <v>0</v>
      </c>
      <c r="H52" s="162">
        <v>0</v>
      </c>
      <c r="I52" s="22"/>
      <c r="J52" s="4"/>
      <c r="K52" s="17"/>
      <c r="L52" s="18"/>
      <c r="M52" s="4"/>
      <c r="N52" s="4"/>
      <c r="O52" s="4"/>
      <c r="P52" s="4"/>
    </row>
    <row r="53" spans="1:16" s="16" customFormat="1" ht="21" customHeight="1" hidden="1">
      <c r="A53" s="137" t="s">
        <v>21</v>
      </c>
      <c r="B53" s="52">
        <f>11155473/10000</f>
        <v>1115.5473</v>
      </c>
      <c r="C53" s="47">
        <f>(11155473/23589192)*100</f>
        <v>47.29061088654499</v>
      </c>
      <c r="D53" s="48">
        <f>62503416/10000</f>
        <v>6250.3416</v>
      </c>
      <c r="E53" s="49">
        <v>8018</v>
      </c>
      <c r="F53" s="50">
        <v>152294</v>
      </c>
      <c r="G53" s="49">
        <v>0</v>
      </c>
      <c r="H53" s="162">
        <v>0</v>
      </c>
      <c r="I53" s="22"/>
      <c r="J53" s="4"/>
      <c r="K53" s="17"/>
      <c r="L53" s="18"/>
      <c r="M53" s="4"/>
      <c r="N53" s="4"/>
      <c r="O53" s="4"/>
      <c r="P53" s="4"/>
    </row>
    <row r="54" spans="1:16" s="16" customFormat="1" ht="21" customHeight="1" hidden="1">
      <c r="A54" s="138" t="s">
        <v>16</v>
      </c>
      <c r="B54" s="52">
        <f>11136809/10000</f>
        <v>1113.6809</v>
      </c>
      <c r="C54" s="47">
        <f>(11136809/23589312)*100</f>
        <v>47.21124973886479</v>
      </c>
      <c r="D54" s="48">
        <f>67501065/10000</f>
        <v>6750.1065</v>
      </c>
      <c r="E54" s="49">
        <v>8285</v>
      </c>
      <c r="F54" s="50">
        <v>151771</v>
      </c>
      <c r="G54" s="49">
        <v>0</v>
      </c>
      <c r="H54" s="162">
        <v>0</v>
      </c>
      <c r="I54" s="22"/>
      <c r="J54" s="4"/>
      <c r="K54" s="17"/>
      <c r="L54" s="18"/>
      <c r="M54" s="4"/>
      <c r="N54" s="4"/>
      <c r="O54" s="4"/>
      <c r="P54" s="4"/>
    </row>
    <row r="55" spans="1:16" s="16" customFormat="1" ht="21" customHeight="1" hidden="1">
      <c r="A55" s="139" t="s">
        <v>22</v>
      </c>
      <c r="B55" s="52">
        <f>11124459/10000</f>
        <v>1112.4459</v>
      </c>
      <c r="C55" s="47">
        <f>(11124459/23589870)*100</f>
        <v>47.15778001320058</v>
      </c>
      <c r="D55" s="48">
        <f>69500149/10000</f>
        <v>6950.0149</v>
      </c>
      <c r="E55" s="49">
        <v>8033</v>
      </c>
      <c r="F55" s="50">
        <v>151106</v>
      </c>
      <c r="G55" s="49">
        <v>0</v>
      </c>
      <c r="H55" s="162">
        <v>0</v>
      </c>
      <c r="I55" s="22"/>
      <c r="J55" s="4"/>
      <c r="K55" s="17"/>
      <c r="L55" s="18"/>
      <c r="M55" s="4"/>
      <c r="N55" s="4"/>
      <c r="O55" s="4"/>
      <c r="P55" s="4"/>
    </row>
    <row r="56" spans="1:16" s="16" customFormat="1" ht="21" customHeight="1" hidden="1">
      <c r="A56" s="140" t="s">
        <v>59</v>
      </c>
      <c r="B56" s="52">
        <f>11111904/10000</f>
        <v>1111.1904</v>
      </c>
      <c r="C56" s="47">
        <f>(11111904/23591031)*100</f>
        <v>47.102239830043885</v>
      </c>
      <c r="D56" s="48">
        <f>64399353/10000</f>
        <v>6439.9353</v>
      </c>
      <c r="E56" s="49">
        <v>7787</v>
      </c>
      <c r="F56" s="50">
        <v>151343</v>
      </c>
      <c r="G56" s="49">
        <v>0</v>
      </c>
      <c r="H56" s="162">
        <v>0</v>
      </c>
      <c r="I56" s="22"/>
      <c r="J56" s="4"/>
      <c r="K56" s="17"/>
      <c r="L56" s="18"/>
      <c r="M56" s="4"/>
      <c r="N56" s="4"/>
      <c r="O56" s="4"/>
      <c r="P56" s="4"/>
    </row>
    <row r="57" spans="1:16" s="16" customFormat="1" ht="21" customHeight="1">
      <c r="A57" s="140" t="s">
        <v>23</v>
      </c>
      <c r="B57" s="52">
        <f>11086884/10000</f>
        <v>1108.6884</v>
      </c>
      <c r="C57" s="47">
        <f>(11086884/23592598)*100</f>
        <v>46.99306112874894</v>
      </c>
      <c r="D57" s="48">
        <f>58425836/10000</f>
        <v>5842.5836</v>
      </c>
      <c r="E57" s="49">
        <v>7642</v>
      </c>
      <c r="F57" s="50">
        <v>151291</v>
      </c>
      <c r="G57" s="49">
        <v>0</v>
      </c>
      <c r="H57" s="162">
        <v>0</v>
      </c>
      <c r="I57" s="22"/>
      <c r="J57" s="4"/>
      <c r="K57" s="17"/>
      <c r="L57" s="18"/>
      <c r="M57" s="4"/>
      <c r="N57" s="4"/>
      <c r="O57" s="4"/>
      <c r="P57" s="4"/>
    </row>
    <row r="58" spans="1:16" s="16" customFormat="1" ht="21" customHeight="1">
      <c r="A58" s="140" t="s">
        <v>76</v>
      </c>
      <c r="B58" s="52">
        <f>11063650/10000</f>
        <v>1106.365</v>
      </c>
      <c r="C58" s="47">
        <f>(11063650/23593783)*100</f>
        <v>46.89222580372126</v>
      </c>
      <c r="D58" s="48">
        <f>58566427/10000</f>
        <v>5856.6427</v>
      </c>
      <c r="E58" s="49">
        <v>7434</v>
      </c>
      <c r="F58" s="50">
        <v>150792</v>
      </c>
      <c r="G58" s="49">
        <v>0</v>
      </c>
      <c r="H58" s="162">
        <v>0</v>
      </c>
      <c r="I58" s="22"/>
      <c r="J58" s="4"/>
      <c r="K58" s="17"/>
      <c r="L58" s="18"/>
      <c r="M58" s="4"/>
      <c r="N58" s="4"/>
      <c r="O58" s="4"/>
      <c r="P58" s="4"/>
    </row>
    <row r="59" spans="1:16" s="16" customFormat="1" ht="21" customHeight="1">
      <c r="A59" s="140" t="s">
        <v>25</v>
      </c>
      <c r="B59" s="52">
        <f>11042968/10000</f>
        <v>1104.2968</v>
      </c>
      <c r="C59" s="47">
        <f>(11042968/23593783)*100</f>
        <v>46.8045671183803</v>
      </c>
      <c r="D59" s="48">
        <f>51817196/10000</f>
        <v>5181.7196</v>
      </c>
      <c r="E59" s="49">
        <v>7386</v>
      </c>
      <c r="F59" s="50">
        <v>150313</v>
      </c>
      <c r="G59" s="49">
        <v>0</v>
      </c>
      <c r="H59" s="162">
        <v>0</v>
      </c>
      <c r="I59" s="22"/>
      <c r="J59" s="4"/>
      <c r="K59" s="17"/>
      <c r="L59" s="18"/>
      <c r="M59" s="4"/>
      <c r="N59" s="4"/>
      <c r="O59" s="4"/>
      <c r="P59" s="4"/>
    </row>
    <row r="60" spans="1:16" s="16" customFormat="1" ht="21" customHeight="1">
      <c r="A60" s="140" t="s">
        <v>77</v>
      </c>
      <c r="B60" s="52">
        <f>11024743/10000</f>
        <v>1102.4743</v>
      </c>
      <c r="C60" s="47">
        <f>(11024743/23596266)*100</f>
        <v>46.72240514664481</v>
      </c>
      <c r="D60" s="48">
        <f>51997904/10000</f>
        <v>5199.7904</v>
      </c>
      <c r="E60" s="49">
        <v>7325</v>
      </c>
      <c r="F60" s="50">
        <v>150048</v>
      </c>
      <c r="G60" s="49">
        <v>0</v>
      </c>
      <c r="H60" s="162">
        <v>0</v>
      </c>
      <c r="I60" s="22"/>
      <c r="J60" s="4"/>
      <c r="K60" s="17"/>
      <c r="L60" s="18"/>
      <c r="M60" s="4"/>
      <c r="N60" s="4"/>
      <c r="O60" s="4"/>
      <c r="P60" s="4"/>
    </row>
    <row r="61" spans="1:16" s="16" customFormat="1" ht="21" customHeight="1">
      <c r="A61" s="140" t="s">
        <v>63</v>
      </c>
      <c r="B61" s="52">
        <f>11009024/10000</f>
        <v>1100.9024</v>
      </c>
      <c r="C61" s="47">
        <f>(11009024/23598776)*100</f>
        <v>46.65082629709269</v>
      </c>
      <c r="D61" s="48">
        <f>49806660/10000</f>
        <v>4980.666</v>
      </c>
      <c r="E61" s="49">
        <v>7234</v>
      </c>
      <c r="F61" s="50">
        <v>149767</v>
      </c>
      <c r="G61" s="49">
        <v>0</v>
      </c>
      <c r="H61" s="162">
        <v>0</v>
      </c>
      <c r="I61" s="22"/>
      <c r="J61" s="4"/>
      <c r="K61" s="17"/>
      <c r="L61" s="18"/>
      <c r="M61" s="4"/>
      <c r="N61" s="4"/>
      <c r="O61" s="4"/>
      <c r="P61" s="4"/>
    </row>
    <row r="62" spans="1:16" s="16" customFormat="1" ht="21" customHeight="1">
      <c r="A62" s="141" t="s">
        <v>64</v>
      </c>
      <c r="B62" s="52">
        <f>10989379/10000</f>
        <v>1098.9379</v>
      </c>
      <c r="C62" s="47">
        <f>(10989379/23603121)*100</f>
        <v>46.559008022710216</v>
      </c>
      <c r="D62" s="48">
        <f>49120640/10000</f>
        <v>4912.064</v>
      </c>
      <c r="E62" s="49">
        <v>7141</v>
      </c>
      <c r="F62" s="50">
        <v>149700</v>
      </c>
      <c r="G62" s="49">
        <v>0</v>
      </c>
      <c r="H62" s="162">
        <v>0</v>
      </c>
      <c r="I62" s="22"/>
      <c r="J62" s="4"/>
      <c r="K62" s="17"/>
      <c r="L62" s="18"/>
      <c r="M62" s="4"/>
      <c r="N62" s="4"/>
      <c r="O62" s="4"/>
      <c r="P62" s="4"/>
    </row>
    <row r="63" spans="1:16" s="16" customFormat="1" ht="21" customHeight="1">
      <c r="A63" s="194" t="s">
        <v>89</v>
      </c>
      <c r="B63" s="206">
        <f>B70</f>
        <v>1084.4587</v>
      </c>
      <c r="C63" s="207">
        <f>C70</f>
        <v>45.99314084467319</v>
      </c>
      <c r="D63" s="203">
        <f>SUM(D64:D75)</f>
        <v>28960.5455</v>
      </c>
      <c r="E63" s="208">
        <f>E70</f>
        <v>6621</v>
      </c>
      <c r="F63" s="208">
        <f>F70</f>
        <v>146860</v>
      </c>
      <c r="G63" s="208">
        <f>G64</f>
        <v>0</v>
      </c>
      <c r="H63" s="209">
        <f>SUM(H64:H75)</f>
        <v>0</v>
      </c>
      <c r="I63" s="22"/>
      <c r="J63" s="4"/>
      <c r="K63" s="17"/>
      <c r="L63" s="18"/>
      <c r="M63" s="4"/>
      <c r="N63" s="4"/>
      <c r="O63" s="4"/>
      <c r="P63" s="4"/>
    </row>
    <row r="64" spans="1:16" s="16" customFormat="1" ht="21" customHeight="1">
      <c r="A64" s="195" t="s">
        <v>13</v>
      </c>
      <c r="B64" s="52">
        <f>10971209/10000</f>
        <v>1097.1209</v>
      </c>
      <c r="C64" s="47">
        <f>(10971209/23604265)*100</f>
        <v>46.47977388832061</v>
      </c>
      <c r="D64" s="48">
        <f>61942079/10000</f>
        <v>6194.2079</v>
      </c>
      <c r="E64" s="49">
        <v>7070</v>
      </c>
      <c r="F64" s="50">
        <v>149524</v>
      </c>
      <c r="G64" s="49">
        <v>0</v>
      </c>
      <c r="H64" s="201">
        <v>0</v>
      </c>
      <c r="I64" s="22"/>
      <c r="J64" s="4"/>
      <c r="K64" s="17"/>
      <c r="L64" s="18"/>
      <c r="M64" s="4"/>
      <c r="N64" s="4"/>
      <c r="O64" s="4"/>
      <c r="P64" s="4"/>
    </row>
    <row r="65" spans="1:16" s="16" customFormat="1" ht="21" customHeight="1">
      <c r="A65" s="195" t="s">
        <v>15</v>
      </c>
      <c r="B65" s="52">
        <f>10952105/10000</f>
        <v>1095.2105</v>
      </c>
      <c r="C65" s="47">
        <f>(10952105/23600903)*100</f>
        <v>46.405448977948005</v>
      </c>
      <c r="D65" s="48">
        <f>37006941/10000</f>
        <v>3700.6941</v>
      </c>
      <c r="E65" s="49">
        <v>7036</v>
      </c>
      <c r="F65" s="50">
        <v>149575</v>
      </c>
      <c r="G65" s="49">
        <v>0</v>
      </c>
      <c r="H65" s="201">
        <v>0</v>
      </c>
      <c r="I65" s="22"/>
      <c r="J65" s="4"/>
      <c r="K65" s="17"/>
      <c r="L65" s="18"/>
      <c r="M65" s="4"/>
      <c r="N65" s="4"/>
      <c r="O65" s="4"/>
      <c r="P65" s="4"/>
    </row>
    <row r="66" spans="1:16" s="16" customFormat="1" ht="21" customHeight="1">
      <c r="A66" s="195" t="s">
        <v>21</v>
      </c>
      <c r="B66" s="52">
        <f>10929359/10000</f>
        <v>1092.9359</v>
      </c>
      <c r="C66" s="47">
        <f>(10929359/23596493)*100</f>
        <v>46.31772611294399</v>
      </c>
      <c r="D66" s="48">
        <f>38734470/10000</f>
        <v>3873.447</v>
      </c>
      <c r="E66" s="49">
        <v>6952</v>
      </c>
      <c r="F66" s="50">
        <v>149369</v>
      </c>
      <c r="G66" s="49">
        <v>0</v>
      </c>
      <c r="H66" s="201">
        <v>0</v>
      </c>
      <c r="I66" s="22"/>
      <c r="J66" s="4"/>
      <c r="K66" s="17"/>
      <c r="L66" s="18"/>
      <c r="M66" s="4"/>
      <c r="N66" s="4"/>
      <c r="O66" s="4"/>
      <c r="P66" s="4"/>
    </row>
    <row r="67" spans="1:16" s="16" customFormat="1" ht="21" customHeight="1">
      <c r="A67" s="196" t="s">
        <v>16</v>
      </c>
      <c r="B67" s="52">
        <f>10911203/10000</f>
        <v>1091.1203</v>
      </c>
      <c r="C67" s="47">
        <f>(10911203/23591920)*100</f>
        <v>46.249745675638096</v>
      </c>
      <c r="D67" s="48">
        <f>42256235/10000</f>
        <v>4225.6235</v>
      </c>
      <c r="E67" s="49">
        <v>6910</v>
      </c>
      <c r="F67" s="50">
        <v>148863</v>
      </c>
      <c r="G67" s="49">
        <v>0</v>
      </c>
      <c r="H67" s="201">
        <v>0</v>
      </c>
      <c r="I67" s="22"/>
      <c r="J67" s="4"/>
      <c r="K67" s="17"/>
      <c r="L67" s="18"/>
      <c r="M67" s="4"/>
      <c r="N67" s="4"/>
      <c r="O67" s="4"/>
      <c r="P67" s="4"/>
    </row>
    <row r="68" spans="1:16" s="16" customFormat="1" ht="21" customHeight="1">
      <c r="A68" s="197" t="s">
        <v>22</v>
      </c>
      <c r="B68" s="52">
        <f>10890386/10000</f>
        <v>1089.0386</v>
      </c>
      <c r="C68" s="47">
        <f>(10890386/23586562)*100</f>
        <v>46.171994036265225</v>
      </c>
      <c r="D68" s="48">
        <f>38869106/10000</f>
        <v>3886.9106</v>
      </c>
      <c r="E68" s="49">
        <v>5767</v>
      </c>
      <c r="F68" s="50">
        <v>148326</v>
      </c>
      <c r="G68" s="49">
        <v>0</v>
      </c>
      <c r="H68" s="201">
        <v>0</v>
      </c>
      <c r="I68" s="22"/>
      <c r="J68" s="4"/>
      <c r="K68" s="17"/>
      <c r="L68" s="18"/>
      <c r="M68" s="4"/>
      <c r="N68" s="4"/>
      <c r="O68" s="4"/>
      <c r="P68" s="4"/>
    </row>
    <row r="69" spans="1:16" s="16" customFormat="1" ht="21" customHeight="1">
      <c r="A69" s="198" t="s">
        <v>59</v>
      </c>
      <c r="B69" s="52">
        <f>10868704/10000</f>
        <v>1086.8704</v>
      </c>
      <c r="C69" s="47">
        <f>(10868704/23583823)*100</f>
        <v>46.08542050201106</v>
      </c>
      <c r="D69" s="48">
        <f>38335281/10000</f>
        <v>3833.5281</v>
      </c>
      <c r="E69" s="49">
        <v>5744</v>
      </c>
      <c r="F69" s="50">
        <v>147789</v>
      </c>
      <c r="G69" s="49">
        <v>0</v>
      </c>
      <c r="H69" s="201">
        <v>0</v>
      </c>
      <c r="I69" s="22"/>
      <c r="J69" s="4"/>
      <c r="K69" s="17"/>
      <c r="L69" s="18"/>
      <c r="M69" s="4"/>
      <c r="N69" s="4"/>
      <c r="O69" s="4"/>
      <c r="P69" s="4"/>
    </row>
    <row r="70" spans="1:16" s="16" customFormat="1" ht="21" customHeight="1" thickBot="1">
      <c r="A70" s="198" t="s">
        <v>23</v>
      </c>
      <c r="B70" s="52">
        <f>10844587/10000</f>
        <v>1084.4587</v>
      </c>
      <c r="C70" s="47">
        <f>(10844587/23578705)*100</f>
        <v>45.99314084467319</v>
      </c>
      <c r="D70" s="48">
        <f>32461343/10000</f>
        <v>3246.1343</v>
      </c>
      <c r="E70" s="49">
        <v>6621</v>
      </c>
      <c r="F70" s="50">
        <v>146860</v>
      </c>
      <c r="G70" s="49">
        <v>0</v>
      </c>
      <c r="H70" s="201">
        <v>0</v>
      </c>
      <c r="I70" s="22"/>
      <c r="J70" s="4"/>
      <c r="K70" s="17"/>
      <c r="L70" s="18"/>
      <c r="M70" s="4"/>
      <c r="N70" s="4"/>
      <c r="O70" s="4"/>
      <c r="P70" s="4"/>
    </row>
    <row r="71" spans="1:16" s="16" customFormat="1" ht="21" customHeight="1" hidden="1">
      <c r="A71" s="198" t="s">
        <v>76</v>
      </c>
      <c r="B71" s="200"/>
      <c r="C71" s="47"/>
      <c r="D71" s="48"/>
      <c r="E71" s="49"/>
      <c r="F71" s="50"/>
      <c r="G71" s="49"/>
      <c r="H71" s="201"/>
      <c r="I71" s="22"/>
      <c r="J71" s="4"/>
      <c r="K71" s="17"/>
      <c r="L71" s="18"/>
      <c r="M71" s="4"/>
      <c r="N71" s="4"/>
      <c r="O71" s="4"/>
      <c r="P71" s="4"/>
    </row>
    <row r="72" spans="1:16" s="16" customFormat="1" ht="21" customHeight="1" hidden="1">
      <c r="A72" s="198" t="s">
        <v>25</v>
      </c>
      <c r="B72" s="200"/>
      <c r="C72" s="47"/>
      <c r="D72" s="48"/>
      <c r="E72" s="49"/>
      <c r="F72" s="50"/>
      <c r="G72" s="49"/>
      <c r="H72" s="201"/>
      <c r="I72" s="22"/>
      <c r="J72" s="4"/>
      <c r="K72" s="17"/>
      <c r="L72" s="18"/>
      <c r="M72" s="4"/>
      <c r="N72" s="4"/>
      <c r="O72" s="4"/>
      <c r="P72" s="4"/>
    </row>
    <row r="73" spans="1:16" s="16" customFormat="1" ht="21" customHeight="1" hidden="1">
      <c r="A73" s="198" t="s">
        <v>77</v>
      </c>
      <c r="B73" s="200"/>
      <c r="C73" s="47"/>
      <c r="D73" s="48"/>
      <c r="E73" s="49"/>
      <c r="F73" s="50"/>
      <c r="G73" s="49"/>
      <c r="H73" s="201"/>
      <c r="I73" s="22"/>
      <c r="J73" s="4"/>
      <c r="K73" s="17"/>
      <c r="L73" s="18"/>
      <c r="M73" s="4"/>
      <c r="N73" s="4"/>
      <c r="O73" s="4"/>
      <c r="P73" s="4"/>
    </row>
    <row r="74" spans="1:16" s="16" customFormat="1" ht="21" customHeight="1" hidden="1">
      <c r="A74" s="198" t="s">
        <v>63</v>
      </c>
      <c r="B74" s="200"/>
      <c r="C74" s="47"/>
      <c r="D74" s="48"/>
      <c r="E74" s="49"/>
      <c r="F74" s="50"/>
      <c r="G74" s="49"/>
      <c r="H74" s="201"/>
      <c r="I74" s="22"/>
      <c r="J74" s="4"/>
      <c r="K74" s="17"/>
      <c r="L74" s="18"/>
      <c r="M74" s="4"/>
      <c r="N74" s="4"/>
      <c r="O74" s="4"/>
      <c r="P74" s="4"/>
    </row>
    <row r="75" spans="1:19" s="16" customFormat="1" ht="21" customHeight="1" hidden="1" thickBot="1">
      <c r="A75" s="199" t="s">
        <v>64</v>
      </c>
      <c r="I75" s="21"/>
      <c r="J75"/>
      <c r="K75"/>
      <c r="L75"/>
      <c r="M75"/>
      <c r="N75"/>
      <c r="O75"/>
      <c r="P75"/>
      <c r="Q75"/>
      <c r="R75"/>
      <c r="S75"/>
    </row>
    <row r="76" spans="1:19" s="16" customFormat="1" ht="49.5" customHeight="1" thickBot="1">
      <c r="A76" s="143" t="s">
        <v>14</v>
      </c>
      <c r="B76" s="65">
        <f>(B70-B69)/B69*100</f>
        <v>-0.22189398110392095</v>
      </c>
      <c r="C76" s="66">
        <f>(C70-C69)/C69*100</f>
        <v>-0.2002361187826032</v>
      </c>
      <c r="D76" s="66">
        <f>(D70-D69)/D69*100</f>
        <v>-15.322538003569083</v>
      </c>
      <c r="E76" s="66">
        <f>(E70-E69)/E69*100</f>
        <v>15.268105849582172</v>
      </c>
      <c r="F76" s="66">
        <f>(F70-F69)/F69*100</f>
        <v>-0.6285988808368688</v>
      </c>
      <c r="G76" s="66" t="s">
        <v>88</v>
      </c>
      <c r="H76" s="163" t="s">
        <v>9</v>
      </c>
      <c r="I76" s="66" t="e">
        <f>(I40-I39)/I39*100</f>
        <v>#DIV/0!</v>
      </c>
      <c r="J76"/>
      <c r="K76"/>
      <c r="L76"/>
      <c r="M76"/>
      <c r="N76"/>
      <c r="O76"/>
      <c r="P76"/>
      <c r="Q76"/>
      <c r="R76"/>
      <c r="S76"/>
    </row>
    <row r="77" spans="1:11" ht="49.5" customHeight="1">
      <c r="A77" s="144" t="s">
        <v>20</v>
      </c>
      <c r="B77" s="65">
        <f>(B70-B57)/B57*100</f>
        <v>-2.1854382169056783</v>
      </c>
      <c r="C77" s="128">
        <f>(C70-C57)/C57*100</f>
        <v>-2.127804105666204</v>
      </c>
      <c r="D77" s="128">
        <f>(D70-D57)/D57*100</f>
        <v>-44.440088114443064</v>
      </c>
      <c r="E77" s="128">
        <f>(E70-E57)/E57*100</f>
        <v>-13.360376864695105</v>
      </c>
      <c r="F77" s="128">
        <f>(F70-F57)/F57*100</f>
        <v>-2.9287928561513903</v>
      </c>
      <c r="G77" s="66" t="s">
        <v>9</v>
      </c>
      <c r="H77" s="163" t="s">
        <v>9</v>
      </c>
      <c r="J77" s="19"/>
      <c r="K77" s="21"/>
    </row>
    <row r="78" spans="1:8" ht="49.5" customHeight="1" thickBot="1">
      <c r="A78" s="145" t="s">
        <v>19</v>
      </c>
      <c r="B78" s="129">
        <f>(B63-B57)/B57*100</f>
        <v>-2.1854382169056783</v>
      </c>
      <c r="C78" s="164">
        <f>(C63-C57)/C57*100</f>
        <v>-2.127804105666204</v>
      </c>
      <c r="D78" s="164">
        <f>(D63-435099011/10000)/(435099011/10000)*100</f>
        <v>-33.43918334027195</v>
      </c>
      <c r="E78" s="164">
        <f>(E63-E57)/E57*100</f>
        <v>-13.360376864695105</v>
      </c>
      <c r="F78" s="164">
        <f>(F63-F57)/F57*100</f>
        <v>-2.9287928561513903</v>
      </c>
      <c r="G78" s="164" t="s">
        <v>9</v>
      </c>
      <c r="H78" s="164" t="s">
        <v>9</v>
      </c>
    </row>
    <row r="80" spans="1:2" ht="16.5">
      <c r="A80" s="33"/>
      <c r="B80" s="33"/>
    </row>
    <row r="81" spans="1:8" ht="16.5">
      <c r="A81" s="32"/>
      <c r="H81" s="39"/>
    </row>
    <row r="82" ht="16.5">
      <c r="H82" s="21"/>
    </row>
  </sheetData>
  <sheetProtection formatCells="0" formatColumns="0" formatRows="0" insertColumns="0" insertRows="0" insertHyperlinks="0" deleteColumns="0" deleteRows="0" selectLockedCells="1" sort="0" autoFilter="0" pivotTables="0"/>
  <mergeCells count="8">
    <mergeCell ref="A1:H1"/>
    <mergeCell ref="I5:I21"/>
    <mergeCell ref="G2:H2"/>
    <mergeCell ref="A2:A4"/>
    <mergeCell ref="B2:C2"/>
    <mergeCell ref="D2:D3"/>
    <mergeCell ref="E2:E3"/>
    <mergeCell ref="F2:F3"/>
  </mergeCells>
  <printOptions horizontalCentered="1"/>
  <pageMargins left="0.25" right="0.25" top="0.49" bottom="0.28" header="0.3" footer="0.21"/>
  <pageSetup horizontalDpi="600" verticalDpi="600" orientation="portrait" paperSize="9" scale="93" r:id="rId1"/>
  <headerFooter alignWithMargins="0">
    <oddHeader>&amp;C
　　　　　　　　　　　　　　　　　　　　</oddHeader>
    <oddFooter xml:space="preserve">&amp;C&amp;10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00"/>
  <sheetViews>
    <sheetView tabSelected="1" view="pageBreakPreview" zoomScaleSheetLayoutView="100" zoomScalePageLayoutView="0" workbookViewId="0" topLeftCell="A1">
      <pane ySplit="4" topLeftCell="A58" activePane="bottomLeft" state="frozen"/>
      <selection pane="topLeft" activeCell="A1" sqref="A1"/>
      <selection pane="bottomLeft" activeCell="E79" sqref="E79"/>
    </sheetView>
  </sheetViews>
  <sheetFormatPr defaultColWidth="9.00390625" defaultRowHeight="16.5"/>
  <cols>
    <col min="1" max="1" width="16.75390625" style="3" customWidth="1"/>
    <col min="2" max="2" width="12.375" style="3" customWidth="1"/>
    <col min="3" max="3" width="12.125" style="3" customWidth="1"/>
    <col min="4" max="4" width="11.50390625" style="3" customWidth="1"/>
    <col min="5" max="5" width="12.875" style="3" customWidth="1"/>
    <col min="6" max="6" width="11.625" style="3" customWidth="1"/>
    <col min="7" max="7" width="10.875" style="3" customWidth="1"/>
    <col min="8" max="8" width="13.75390625" style="3" hidden="1" customWidth="1"/>
    <col min="9" max="9" width="13.625" style="3" customWidth="1"/>
    <col min="10" max="10" width="16.375" style="3" bestFit="1" customWidth="1"/>
    <col min="11" max="11" width="19.625" style="3" customWidth="1"/>
    <col min="12" max="12" width="17.375" style="3" customWidth="1"/>
    <col min="13" max="13" width="12.625" style="3" customWidth="1"/>
    <col min="14" max="14" width="9.00390625" style="3" customWidth="1"/>
    <col min="15" max="15" width="16.50390625" style="3" customWidth="1"/>
    <col min="16" max="16384" width="9.00390625" style="3" customWidth="1"/>
  </cols>
  <sheetData>
    <row r="1" spans="1:8" ht="24" customHeight="1" thickBot="1">
      <c r="A1" s="223" t="s">
        <v>10</v>
      </c>
      <c r="B1" s="223"/>
      <c r="C1" s="223"/>
      <c r="D1" s="223"/>
      <c r="E1" s="224"/>
      <c r="F1" s="224"/>
      <c r="G1" s="224"/>
      <c r="H1" s="2"/>
    </row>
    <row r="2" spans="1:8" ht="21" customHeight="1">
      <c r="A2" s="231" t="s">
        <v>32</v>
      </c>
      <c r="B2" s="234" t="s">
        <v>78</v>
      </c>
      <c r="C2" s="236" t="s">
        <v>33</v>
      </c>
      <c r="D2" s="231"/>
      <c r="E2" s="237"/>
      <c r="F2" s="229" t="s">
        <v>40</v>
      </c>
      <c r="G2" s="238" t="s">
        <v>79</v>
      </c>
      <c r="H2" s="240" t="s">
        <v>34</v>
      </c>
    </row>
    <row r="3" spans="1:8" ht="37.5" customHeight="1">
      <c r="A3" s="232"/>
      <c r="B3" s="235"/>
      <c r="C3" s="23" t="s">
        <v>35</v>
      </c>
      <c r="D3" s="23" t="s">
        <v>36</v>
      </c>
      <c r="E3" s="23" t="s">
        <v>37</v>
      </c>
      <c r="F3" s="230"/>
      <c r="G3" s="239"/>
      <c r="H3" s="241"/>
    </row>
    <row r="4" spans="1:8" ht="21" customHeight="1" thickBot="1">
      <c r="A4" s="233"/>
      <c r="B4" s="113" t="s">
        <v>38</v>
      </c>
      <c r="C4" s="114" t="s">
        <v>80</v>
      </c>
      <c r="D4" s="114" t="s">
        <v>39</v>
      </c>
      <c r="E4" s="115" t="s">
        <v>81</v>
      </c>
      <c r="F4" s="114" t="s">
        <v>38</v>
      </c>
      <c r="G4" s="169" t="s">
        <v>38</v>
      </c>
      <c r="H4" s="242"/>
    </row>
    <row r="5" spans="1:8" s="102" customFormat="1" ht="16.5" customHeight="1">
      <c r="A5" s="165" t="s">
        <v>7</v>
      </c>
      <c r="B5" s="101">
        <v>4261</v>
      </c>
      <c r="C5" s="89">
        <v>4727</v>
      </c>
      <c r="D5" s="88">
        <v>21.6</v>
      </c>
      <c r="E5" s="89">
        <v>3493</v>
      </c>
      <c r="F5" s="89">
        <v>1665</v>
      </c>
      <c r="G5" s="125" t="s">
        <v>9</v>
      </c>
      <c r="H5" s="225" t="s">
        <v>57</v>
      </c>
    </row>
    <row r="6" spans="1:8" s="74" customFormat="1" ht="16.5" customHeight="1">
      <c r="A6" s="165" t="s">
        <v>0</v>
      </c>
      <c r="B6" s="101">
        <v>3873</v>
      </c>
      <c r="C6" s="89">
        <v>11541</v>
      </c>
      <c r="D6" s="88">
        <v>52.2</v>
      </c>
      <c r="E6" s="89">
        <v>9553</v>
      </c>
      <c r="F6" s="89">
        <v>1582</v>
      </c>
      <c r="G6" s="126">
        <v>4</v>
      </c>
      <c r="H6" s="226"/>
    </row>
    <row r="7" spans="1:8" s="74" customFormat="1" ht="16.5" customHeight="1">
      <c r="A7" s="165" t="s">
        <v>1</v>
      </c>
      <c r="B7" s="101">
        <v>2813</v>
      </c>
      <c r="C7" s="89">
        <v>17874</v>
      </c>
      <c r="D7" s="88">
        <v>80.2</v>
      </c>
      <c r="E7" s="89">
        <v>14743</v>
      </c>
      <c r="F7" s="89">
        <v>4636</v>
      </c>
      <c r="G7" s="126">
        <v>96</v>
      </c>
      <c r="H7" s="226"/>
    </row>
    <row r="8" spans="1:8" s="74" customFormat="1" ht="16.5" customHeight="1">
      <c r="A8" s="165" t="s">
        <v>2</v>
      </c>
      <c r="B8" s="101">
        <v>1756</v>
      </c>
      <c r="C8" s="89">
        <v>21786</v>
      </c>
      <c r="D8" s="88">
        <v>97.2</v>
      </c>
      <c r="E8" s="89">
        <v>17301</v>
      </c>
      <c r="F8" s="89">
        <v>6232</v>
      </c>
      <c r="G8" s="126">
        <v>1170</v>
      </c>
      <c r="H8" s="226"/>
    </row>
    <row r="9" spans="1:8" s="74" customFormat="1" ht="16.5" customHeight="1">
      <c r="A9" s="165" t="s">
        <v>3</v>
      </c>
      <c r="B9" s="101">
        <v>1598</v>
      </c>
      <c r="C9" s="89">
        <v>24391</v>
      </c>
      <c r="D9" s="88">
        <v>108.3</v>
      </c>
      <c r="E9" s="89">
        <v>20406</v>
      </c>
      <c r="F9" s="89">
        <v>7459</v>
      </c>
      <c r="G9" s="126">
        <v>2110</v>
      </c>
      <c r="H9" s="226"/>
    </row>
    <row r="10" spans="1:8" s="74" customFormat="1" ht="16.5" customHeight="1">
      <c r="A10" s="165" t="s">
        <v>4</v>
      </c>
      <c r="B10" s="101">
        <v>1415</v>
      </c>
      <c r="C10" s="89">
        <v>25800</v>
      </c>
      <c r="D10" s="88">
        <v>114.1</v>
      </c>
      <c r="E10" s="89">
        <v>24006</v>
      </c>
      <c r="F10" s="89">
        <v>7828</v>
      </c>
      <c r="G10" s="126">
        <v>3048</v>
      </c>
      <c r="H10" s="226"/>
    </row>
    <row r="11" spans="1:8" s="74" customFormat="1" ht="16.5" customHeight="1">
      <c r="A11" s="165" t="s">
        <v>5</v>
      </c>
      <c r="B11" s="101">
        <v>1336</v>
      </c>
      <c r="C11" s="89">
        <v>22760</v>
      </c>
      <c r="D11" s="88">
        <v>100.3</v>
      </c>
      <c r="E11" s="89">
        <v>26898</v>
      </c>
      <c r="F11" s="89">
        <v>8036</v>
      </c>
      <c r="G11" s="126">
        <v>3755</v>
      </c>
      <c r="H11" s="226"/>
    </row>
    <row r="12" spans="1:8" s="74" customFormat="1" ht="16.5" customHeight="1">
      <c r="A12" s="165" t="s">
        <v>6</v>
      </c>
      <c r="B12" s="101">
        <v>1095</v>
      </c>
      <c r="C12" s="89">
        <v>22171</v>
      </c>
      <c r="D12" s="88">
        <v>97.4</v>
      </c>
      <c r="E12" s="89">
        <v>28873</v>
      </c>
      <c r="F12" s="89">
        <v>7271</v>
      </c>
      <c r="G12" s="126">
        <v>4345</v>
      </c>
      <c r="H12" s="226"/>
    </row>
    <row r="13" spans="1:8" s="74" customFormat="1" ht="16.5" customHeight="1">
      <c r="A13" s="165" t="s">
        <v>11</v>
      </c>
      <c r="B13" s="101">
        <v>1070</v>
      </c>
      <c r="C13" s="89">
        <v>23249</v>
      </c>
      <c r="D13" s="88">
        <v>101.6</v>
      </c>
      <c r="E13" s="89">
        <v>29960</v>
      </c>
      <c r="F13" s="89">
        <v>7037</v>
      </c>
      <c r="G13" s="126">
        <v>4506</v>
      </c>
      <c r="H13" s="226"/>
    </row>
    <row r="14" spans="1:8" s="74" customFormat="1" ht="16.5" customHeight="1">
      <c r="A14" s="165" t="s">
        <v>12</v>
      </c>
      <c r="B14" s="101">
        <v>1050</v>
      </c>
      <c r="C14" s="89">
        <v>24287</v>
      </c>
      <c r="D14" s="88">
        <v>105.8</v>
      </c>
      <c r="E14" s="89">
        <v>31231</v>
      </c>
      <c r="F14" s="89">
        <v>5974</v>
      </c>
      <c r="G14" s="126">
        <v>4794</v>
      </c>
      <c r="H14" s="226"/>
    </row>
    <row r="15" spans="1:8" s="74" customFormat="1" ht="21" customHeight="1">
      <c r="A15" s="166" t="s">
        <v>73</v>
      </c>
      <c r="B15" s="90">
        <v>1137</v>
      </c>
      <c r="C15" s="92">
        <v>25413</v>
      </c>
      <c r="D15" s="88">
        <v>110.3</v>
      </c>
      <c r="E15" s="92">
        <v>33539</v>
      </c>
      <c r="F15" s="89">
        <v>6027</v>
      </c>
      <c r="G15" s="126">
        <v>5024</v>
      </c>
      <c r="H15" s="226"/>
    </row>
    <row r="16" spans="1:8" s="74" customFormat="1" ht="21" customHeight="1">
      <c r="A16" s="166" t="s">
        <v>82</v>
      </c>
      <c r="B16" s="90">
        <v>1121</v>
      </c>
      <c r="C16" s="92">
        <v>26959</v>
      </c>
      <c r="D16" s="88">
        <v>116.6</v>
      </c>
      <c r="E16" s="92">
        <v>36664</v>
      </c>
      <c r="F16" s="127">
        <v>5668</v>
      </c>
      <c r="G16" s="170">
        <v>4998</v>
      </c>
      <c r="H16" s="226"/>
    </row>
    <row r="17" spans="1:9" s="74" customFormat="1" ht="21" customHeight="1">
      <c r="A17" s="166" t="s">
        <v>75</v>
      </c>
      <c r="B17" s="90">
        <v>1095</v>
      </c>
      <c r="C17" s="92">
        <v>27840</v>
      </c>
      <c r="D17" s="88">
        <v>120.2</v>
      </c>
      <c r="E17" s="92">
        <v>39967</v>
      </c>
      <c r="F17" s="89">
        <v>5888</v>
      </c>
      <c r="G17" s="126">
        <v>5312</v>
      </c>
      <c r="H17" s="227"/>
      <c r="I17" s="91"/>
    </row>
    <row r="18" spans="1:9" s="74" customFormat="1" ht="21" customHeight="1">
      <c r="A18" s="166" t="s">
        <v>71</v>
      </c>
      <c r="B18" s="90">
        <v>912</v>
      </c>
      <c r="C18" s="92">
        <v>28862</v>
      </c>
      <c r="D18" s="88">
        <v>124.3</v>
      </c>
      <c r="E18" s="92">
        <v>42835</v>
      </c>
      <c r="F18" s="89">
        <v>6092</v>
      </c>
      <c r="G18" s="126">
        <v>5516</v>
      </c>
      <c r="H18" s="227"/>
      <c r="I18" s="91"/>
    </row>
    <row r="19" spans="1:11" s="74" customFormat="1" ht="21" customHeight="1">
      <c r="A19" s="166" t="s">
        <v>83</v>
      </c>
      <c r="B19" s="90">
        <v>579</v>
      </c>
      <c r="C19" s="92">
        <v>29449</v>
      </c>
      <c r="D19" s="88">
        <v>126.3</v>
      </c>
      <c r="E19" s="92">
        <v>43477</v>
      </c>
      <c r="F19" s="92">
        <v>6988</v>
      </c>
      <c r="G19" s="171">
        <v>6449</v>
      </c>
      <c r="H19" s="227"/>
      <c r="I19" s="91"/>
      <c r="K19" s="93"/>
    </row>
    <row r="20" spans="1:11" s="74" customFormat="1" ht="21" customHeight="1">
      <c r="A20" s="166" t="s">
        <v>84</v>
      </c>
      <c r="B20" s="172">
        <v>0</v>
      </c>
      <c r="C20" s="92">
        <v>29701</v>
      </c>
      <c r="D20" s="88">
        <v>127.1</v>
      </c>
      <c r="E20" s="92">
        <v>37582</v>
      </c>
      <c r="F20" s="92">
        <v>7536</v>
      </c>
      <c r="G20" s="171">
        <v>7012</v>
      </c>
      <c r="H20" s="227"/>
      <c r="I20" s="93"/>
      <c r="J20" s="93"/>
      <c r="K20" s="93"/>
    </row>
    <row r="21" spans="1:11" s="74" customFormat="1" ht="21" customHeight="1">
      <c r="A21" s="166" t="s">
        <v>85</v>
      </c>
      <c r="B21" s="172">
        <v>0</v>
      </c>
      <c r="C21" s="92">
        <v>26535</v>
      </c>
      <c r="D21" s="88">
        <v>113.2</v>
      </c>
      <c r="E21" s="92">
        <v>30825</v>
      </c>
      <c r="F21" s="92">
        <v>7945</v>
      </c>
      <c r="G21" s="171">
        <v>7437</v>
      </c>
      <c r="H21" s="227"/>
      <c r="I21" s="93"/>
      <c r="J21" s="93"/>
      <c r="K21" s="93"/>
    </row>
    <row r="22" spans="1:13" s="74" customFormat="1" ht="21" customHeight="1">
      <c r="A22" s="166" t="s">
        <v>30</v>
      </c>
      <c r="B22" s="173">
        <v>0</v>
      </c>
      <c r="C22" s="95">
        <v>29369</v>
      </c>
      <c r="D22" s="94">
        <v>125</v>
      </c>
      <c r="E22" s="92">
        <v>26795</v>
      </c>
      <c r="F22" s="95">
        <v>8112</v>
      </c>
      <c r="G22" s="174">
        <v>7617</v>
      </c>
      <c r="H22" s="227"/>
      <c r="I22" s="93"/>
      <c r="M22" s="75"/>
    </row>
    <row r="23" spans="1:13" s="74" customFormat="1" ht="21" customHeight="1">
      <c r="A23" s="166" t="s">
        <v>18</v>
      </c>
      <c r="B23" s="173">
        <v>0</v>
      </c>
      <c r="C23" s="92">
        <v>28928</v>
      </c>
      <c r="D23" s="88">
        <v>122.9</v>
      </c>
      <c r="E23" s="92">
        <v>22537</v>
      </c>
      <c r="F23" s="92">
        <v>6205</v>
      </c>
      <c r="G23" s="171">
        <v>5792</v>
      </c>
      <c r="H23" s="228"/>
      <c r="I23" s="96"/>
      <c r="M23" s="75"/>
    </row>
    <row r="24" spans="1:14" s="74" customFormat="1" ht="21" customHeight="1">
      <c r="A24" s="167" t="s">
        <v>86</v>
      </c>
      <c r="B24" s="175">
        <f>B33</f>
        <v>0</v>
      </c>
      <c r="C24" s="103">
        <f>C36</f>
        <v>28656.487</v>
      </c>
      <c r="D24" s="104">
        <f>D36</f>
        <v>121.57401479354468</v>
      </c>
      <c r="E24" s="103">
        <f>SUM(E25:E36)</f>
        <v>18161.240321</v>
      </c>
      <c r="F24" s="103">
        <f>F36</f>
        <v>6223.057</v>
      </c>
      <c r="G24" s="176">
        <f>G36</f>
        <v>5822.894</v>
      </c>
      <c r="H24" s="97"/>
      <c r="I24" s="98"/>
      <c r="J24" s="98"/>
      <c r="M24" s="75"/>
      <c r="N24" s="76"/>
    </row>
    <row r="25" spans="1:16" s="16" customFormat="1" ht="21" customHeight="1" hidden="1">
      <c r="A25" s="139" t="s">
        <v>29</v>
      </c>
      <c r="B25" s="177">
        <v>0</v>
      </c>
      <c r="C25" s="26">
        <f>28890506/1000</f>
        <v>28890.506</v>
      </c>
      <c r="D25" s="27">
        <f>(28890506/23544189)*100</f>
        <v>122.70758614790256</v>
      </c>
      <c r="E25" s="26">
        <f>1706400715/1000000</f>
        <v>1706.400715</v>
      </c>
      <c r="F25" s="26">
        <f>6208872/1000</f>
        <v>6208.872</v>
      </c>
      <c r="G25" s="178">
        <f>5796559/1000</f>
        <v>5796.559</v>
      </c>
      <c r="H25" s="15"/>
      <c r="I25" s="22"/>
      <c r="J25" s="4"/>
      <c r="K25" s="17"/>
      <c r="L25" s="18"/>
      <c r="M25" s="4"/>
      <c r="N25" s="4"/>
      <c r="O25" s="4"/>
      <c r="P25" s="4"/>
    </row>
    <row r="26" spans="1:16" s="16" customFormat="1" ht="21" customHeight="1" hidden="1">
      <c r="A26" s="139" t="s">
        <v>15</v>
      </c>
      <c r="B26" s="177">
        <v>0</v>
      </c>
      <c r="C26" s="26">
        <f>28863966/1000</f>
        <v>28863.966</v>
      </c>
      <c r="D26" s="27">
        <f>(28863966/23545680)*100</f>
        <v>122.58709877990357</v>
      </c>
      <c r="E26" s="26">
        <f>1536938125/1000000</f>
        <v>1536.938125</v>
      </c>
      <c r="F26" s="26">
        <f>6210899/1000</f>
        <v>6210.899</v>
      </c>
      <c r="G26" s="178">
        <f>5799512/1000</f>
        <v>5799.512</v>
      </c>
      <c r="H26" s="15"/>
      <c r="I26" s="22"/>
      <c r="J26" s="4"/>
      <c r="K26" s="17"/>
      <c r="L26" s="18"/>
      <c r="M26" s="4"/>
      <c r="N26" s="4"/>
      <c r="O26" s="4"/>
      <c r="P26" s="4"/>
    </row>
    <row r="27" spans="1:16" s="16" customFormat="1" ht="21" customHeight="1" hidden="1">
      <c r="A27" s="139" t="s">
        <v>21</v>
      </c>
      <c r="B27" s="177">
        <v>0</v>
      </c>
      <c r="C27" s="26">
        <f>28829444/1000</f>
        <v>28829.444</v>
      </c>
      <c r="D27" s="27">
        <f>(28829444/23547448)*100</f>
        <v>122.43128852009781</v>
      </c>
      <c r="E27" s="26">
        <f>1553559094/1000000</f>
        <v>1553.559094</v>
      </c>
      <c r="F27" s="26">
        <f>6211085/1000</f>
        <v>6211.085</v>
      </c>
      <c r="G27" s="178">
        <f>5801080/1000</f>
        <v>5801.08</v>
      </c>
      <c r="H27" s="15"/>
      <c r="I27" s="22"/>
      <c r="J27" s="4"/>
      <c r="K27" s="17"/>
      <c r="L27" s="18"/>
      <c r="M27" s="4"/>
      <c r="N27" s="4"/>
      <c r="O27" s="4"/>
      <c r="P27" s="4"/>
    </row>
    <row r="28" spans="1:16" s="16" customFormat="1" ht="21" customHeight="1" hidden="1">
      <c r="A28" s="138" t="s">
        <v>58</v>
      </c>
      <c r="B28" s="179">
        <v>0</v>
      </c>
      <c r="C28" s="30">
        <f>28805193/1000</f>
        <v>28805.193</v>
      </c>
      <c r="D28" s="29">
        <f>28805193/23547448*100</f>
        <v>122.3283007143704</v>
      </c>
      <c r="E28" s="30">
        <f>1579855282/1000000</f>
        <v>1579.855282</v>
      </c>
      <c r="F28" s="30">
        <f>6214575/1000</f>
        <v>6214.575</v>
      </c>
      <c r="G28" s="180">
        <f>5805611/1000</f>
        <v>5805.611</v>
      </c>
      <c r="H28" s="15"/>
      <c r="I28" s="28"/>
      <c r="J28" s="25"/>
      <c r="K28" s="17"/>
      <c r="L28" s="18"/>
      <c r="M28" s="4"/>
      <c r="N28" s="4"/>
      <c r="O28" s="4"/>
      <c r="P28" s="4"/>
    </row>
    <row r="29" spans="1:16" s="16" customFormat="1" ht="21" customHeight="1" hidden="1">
      <c r="A29" s="139" t="s">
        <v>22</v>
      </c>
      <c r="B29" s="179">
        <v>0</v>
      </c>
      <c r="C29" s="30">
        <f>28818319/1000</f>
        <v>28818.319</v>
      </c>
      <c r="D29" s="29">
        <f>28818319/23550077*100</f>
        <v>122.3703812093693</v>
      </c>
      <c r="E29" s="30">
        <f>1535493530/1000000</f>
        <v>1535.49353</v>
      </c>
      <c r="F29" s="30">
        <f>6216146/1000</f>
        <v>6216.146</v>
      </c>
      <c r="G29" s="180">
        <f>5808197/1000</f>
        <v>5808.197</v>
      </c>
      <c r="H29" s="20"/>
      <c r="I29" s="28"/>
      <c r="J29" s="25"/>
      <c r="K29" s="17"/>
      <c r="L29" s="18"/>
      <c r="M29" s="4"/>
      <c r="N29" s="4"/>
      <c r="O29" s="4"/>
      <c r="P29" s="4"/>
    </row>
    <row r="30" spans="1:16" s="16" customFormat="1" ht="21" customHeight="1" hidden="1">
      <c r="A30" s="138" t="s">
        <v>59</v>
      </c>
      <c r="B30" s="179">
        <v>0</v>
      </c>
      <c r="C30" s="30">
        <f>28784753/1000</f>
        <v>28784.753</v>
      </c>
      <c r="D30" s="29">
        <f>28784753/23552470*100</f>
        <v>122.21543218184759</v>
      </c>
      <c r="E30" s="30">
        <f>1556929631/1000000</f>
        <v>1556.929631</v>
      </c>
      <c r="F30" s="30">
        <f>6218792/1000</f>
        <v>6218.792</v>
      </c>
      <c r="G30" s="180">
        <f>5811880/1000</f>
        <v>5811.88</v>
      </c>
      <c r="H30" s="15"/>
      <c r="I30" s="28"/>
      <c r="J30" s="25"/>
      <c r="K30" s="17"/>
      <c r="L30" s="18"/>
      <c r="M30" s="4"/>
      <c r="N30" s="4"/>
      <c r="O30" s="4"/>
      <c r="P30" s="4"/>
    </row>
    <row r="31" spans="1:16" s="16" customFormat="1" ht="21" customHeight="1" hidden="1">
      <c r="A31" s="139" t="s">
        <v>23</v>
      </c>
      <c r="B31" s="177">
        <v>0</v>
      </c>
      <c r="C31" s="26">
        <f>28714200/1000</f>
        <v>28714.2</v>
      </c>
      <c r="D31" s="27">
        <f>28714200/23554803*100</f>
        <v>121.9038002567884</v>
      </c>
      <c r="E31" s="26">
        <f>1539206935/1000000</f>
        <v>1539.206935</v>
      </c>
      <c r="F31" s="26">
        <f>6223478/1000</f>
        <v>6223.478</v>
      </c>
      <c r="G31" s="178">
        <f>5817644/1000</f>
        <v>5817.644</v>
      </c>
      <c r="H31" s="15"/>
      <c r="I31" s="28"/>
      <c r="J31" s="25"/>
      <c r="K31" s="17"/>
      <c r="L31" s="18"/>
      <c r="M31" s="4"/>
      <c r="N31" s="4"/>
      <c r="O31" s="4"/>
      <c r="P31" s="4"/>
    </row>
    <row r="32" spans="1:16" s="16" customFormat="1" ht="21" customHeight="1" hidden="1">
      <c r="A32" s="139" t="s">
        <v>24</v>
      </c>
      <c r="B32" s="177">
        <v>0</v>
      </c>
      <c r="C32" s="26">
        <f>28750651/1000</f>
        <v>28750.651</v>
      </c>
      <c r="D32" s="27">
        <f>28750651/23556169*100</f>
        <v>122.05147195199694</v>
      </c>
      <c r="E32" s="26">
        <f>1517193942/1000000</f>
        <v>1517.193942</v>
      </c>
      <c r="F32" s="26">
        <f>6231110/1000</f>
        <v>6231.11</v>
      </c>
      <c r="G32" s="178">
        <f>5826495/1000</f>
        <v>5826.495</v>
      </c>
      <c r="H32" s="15"/>
      <c r="I32" s="28"/>
      <c r="J32" s="25"/>
      <c r="K32" s="17"/>
      <c r="L32" s="18"/>
      <c r="M32" s="4"/>
      <c r="N32" s="4"/>
      <c r="O32" s="4"/>
      <c r="P32" s="4"/>
    </row>
    <row r="33" spans="1:16" s="36" customFormat="1" ht="21" customHeight="1" hidden="1">
      <c r="A33" s="139" t="s">
        <v>41</v>
      </c>
      <c r="B33" s="177">
        <v>0</v>
      </c>
      <c r="C33" s="26">
        <f>28725997/1000</f>
        <v>28725.997</v>
      </c>
      <c r="D33" s="27">
        <f>28725997/23557467*100</f>
        <v>121.94009228581324</v>
      </c>
      <c r="E33" s="26">
        <f>1467393608/1000000</f>
        <v>1467.393608</v>
      </c>
      <c r="F33" s="26">
        <f>6235977/1000</f>
        <v>6235.977</v>
      </c>
      <c r="G33" s="178">
        <f>5832496/1000</f>
        <v>5832.496</v>
      </c>
      <c r="H33" s="34"/>
      <c r="I33" s="28"/>
      <c r="J33" s="35"/>
      <c r="K33" s="17"/>
      <c r="L33" s="18"/>
      <c r="M33" s="4"/>
      <c r="N33" s="4"/>
      <c r="O33" s="4"/>
      <c r="P33" s="4"/>
    </row>
    <row r="34" spans="1:16" s="36" customFormat="1" ht="21" customHeight="1" hidden="1">
      <c r="A34" s="139" t="s">
        <v>62</v>
      </c>
      <c r="B34" s="177">
        <v>0</v>
      </c>
      <c r="C34" s="26">
        <f>28668132/1000</f>
        <v>28668.132</v>
      </c>
      <c r="D34" s="27">
        <f>28668132/23562318*100</f>
        <v>121.66940451274786</v>
      </c>
      <c r="E34" s="26">
        <f>1413049586/1000000</f>
        <v>1413.049586</v>
      </c>
      <c r="F34" s="26">
        <f>6234509/1000</f>
        <v>6234.509</v>
      </c>
      <c r="G34" s="178">
        <f>5831935/1000</f>
        <v>5831.935</v>
      </c>
      <c r="H34" s="34"/>
      <c r="I34" s="28"/>
      <c r="J34" s="35"/>
      <c r="K34" s="17"/>
      <c r="L34" s="18"/>
      <c r="M34" s="4"/>
      <c r="N34" s="4"/>
      <c r="O34" s="4"/>
      <c r="P34" s="4"/>
    </row>
    <row r="35" spans="1:16" s="36" customFormat="1" ht="21" customHeight="1" hidden="1">
      <c r="A35" s="139" t="s">
        <v>63</v>
      </c>
      <c r="B35" s="177">
        <v>0</v>
      </c>
      <c r="C35" s="26">
        <f>28668133/1000</f>
        <v>28668.133</v>
      </c>
      <c r="D35" s="27">
        <f>28668133/23566853*100</f>
        <v>121.64599575513964</v>
      </c>
      <c r="E35" s="26">
        <f>1378886984/1000000</f>
        <v>1378.886984</v>
      </c>
      <c r="F35" s="26">
        <f>6228552/1000</f>
        <v>6228.552</v>
      </c>
      <c r="G35" s="178">
        <f>5827214/1000</f>
        <v>5827.214</v>
      </c>
      <c r="H35" s="34"/>
      <c r="I35" s="28"/>
      <c r="J35" s="35"/>
      <c r="K35" s="17"/>
      <c r="L35" s="18"/>
      <c r="M35" s="4"/>
      <c r="N35" s="4"/>
      <c r="O35" s="4"/>
      <c r="P35" s="4"/>
    </row>
    <row r="36" spans="1:16" s="36" customFormat="1" ht="21" customHeight="1" hidden="1">
      <c r="A36" s="139" t="s">
        <v>64</v>
      </c>
      <c r="B36" s="177">
        <v>0</v>
      </c>
      <c r="C36" s="26">
        <f>28656487/1000</f>
        <v>28656.487</v>
      </c>
      <c r="D36" s="27">
        <f>28656487/23571227*100</f>
        <v>121.57401479354468</v>
      </c>
      <c r="E36" s="26">
        <f>1376332889/1000000</f>
        <v>1376.332889</v>
      </c>
      <c r="F36" s="26">
        <f>6223057/1000</f>
        <v>6223.057</v>
      </c>
      <c r="G36" s="178">
        <f>5822894/1000</f>
        <v>5822.894</v>
      </c>
      <c r="H36" s="34"/>
      <c r="I36" s="28"/>
      <c r="J36" s="35"/>
      <c r="K36" s="17"/>
      <c r="L36" s="18"/>
      <c r="M36" s="4"/>
      <c r="N36" s="4"/>
      <c r="O36" s="4"/>
      <c r="P36" s="4"/>
    </row>
    <row r="37" spans="1:16" s="77" customFormat="1" ht="21" customHeight="1">
      <c r="A37" s="168" t="s">
        <v>65</v>
      </c>
      <c r="B37" s="175">
        <f>B38</f>
        <v>0</v>
      </c>
      <c r="C37" s="109">
        <f>C49</f>
        <v>29219.965</v>
      </c>
      <c r="D37" s="123">
        <f>D49</f>
        <v>123.87150465311443</v>
      </c>
      <c r="E37" s="109">
        <f>SUM(E38:E49)</f>
        <v>14686.382067999997</v>
      </c>
      <c r="F37" s="109">
        <f>F49</f>
        <v>6149.309</v>
      </c>
      <c r="G37" s="181">
        <f>G49</f>
        <v>5761.934</v>
      </c>
      <c r="H37" s="109">
        <f>H42</f>
        <v>0</v>
      </c>
      <c r="I37" s="99"/>
      <c r="J37" s="100"/>
      <c r="K37" s="75"/>
      <c r="L37" s="76"/>
      <c r="M37" s="74"/>
      <c r="N37" s="74"/>
      <c r="O37" s="74"/>
      <c r="P37" s="74"/>
    </row>
    <row r="38" spans="1:16" s="36" customFormat="1" ht="21" customHeight="1" hidden="1">
      <c r="A38" s="139" t="s">
        <v>66</v>
      </c>
      <c r="B38" s="182">
        <v>0</v>
      </c>
      <c r="C38" s="48">
        <f>28624099/1000</f>
        <v>28624.099</v>
      </c>
      <c r="D38" s="105">
        <f>28624099/23572049*100</f>
        <v>121.43237526784372</v>
      </c>
      <c r="E38" s="48">
        <f>1368760226/1000000</f>
        <v>1368.760226</v>
      </c>
      <c r="F38" s="48">
        <f>6216983/1000</f>
        <v>6216.983</v>
      </c>
      <c r="G38" s="183">
        <f>5818008/1000</f>
        <v>5818.008</v>
      </c>
      <c r="H38" s="34"/>
      <c r="I38" s="28"/>
      <c r="J38" s="35"/>
      <c r="K38" s="17"/>
      <c r="L38" s="18"/>
      <c r="M38" s="4"/>
      <c r="N38" s="4"/>
      <c r="O38" s="4"/>
      <c r="P38" s="4"/>
    </row>
    <row r="39" spans="1:16" s="36" customFormat="1" ht="21" customHeight="1" hidden="1">
      <c r="A39" s="139" t="s">
        <v>15</v>
      </c>
      <c r="B39" s="182">
        <v>0</v>
      </c>
      <c r="C39" s="48">
        <f>28641194/1000</f>
        <v>28641.194</v>
      </c>
      <c r="D39" s="105">
        <f>28641194/23571408*100</f>
        <v>121.50820180109734</v>
      </c>
      <c r="E39" s="48">
        <f>1266096919/1000000</f>
        <v>1266.096919</v>
      </c>
      <c r="F39" s="48">
        <f>6222935/1000</f>
        <v>6222.935</v>
      </c>
      <c r="G39" s="183">
        <f>5824556/1000</f>
        <v>5824.556</v>
      </c>
      <c r="H39" s="34"/>
      <c r="I39" s="28"/>
      <c r="J39" s="35"/>
      <c r="K39" s="17"/>
      <c r="L39" s="18"/>
      <c r="M39" s="4"/>
      <c r="N39" s="4"/>
      <c r="O39" s="4"/>
      <c r="P39" s="4"/>
    </row>
    <row r="40" spans="1:16" s="36" customFormat="1" ht="21" customHeight="1" hidden="1">
      <c r="A40" s="139" t="s">
        <v>21</v>
      </c>
      <c r="B40" s="182">
        <v>0</v>
      </c>
      <c r="C40" s="48">
        <f>28637638/1000</f>
        <v>28637.638</v>
      </c>
      <c r="D40" s="105">
        <f>28637638/23571990*100</f>
        <v>121.49011602329713</v>
      </c>
      <c r="E40" s="48">
        <f>1238934836/1000000</f>
        <v>1238.934836</v>
      </c>
      <c r="F40" s="48">
        <f>6220111/1000</f>
        <v>6220.111</v>
      </c>
      <c r="G40" s="183">
        <f>5822855/1000</f>
        <v>5822.855</v>
      </c>
      <c r="H40" s="34"/>
      <c r="I40" s="28"/>
      <c r="J40" s="35"/>
      <c r="K40" s="17"/>
      <c r="L40" s="18"/>
      <c r="M40" s="4"/>
      <c r="N40" s="4"/>
      <c r="O40" s="4"/>
      <c r="P40" s="4"/>
    </row>
    <row r="41" spans="1:16" s="36" customFormat="1" ht="21" customHeight="1" hidden="1">
      <c r="A41" s="138" t="s">
        <v>16</v>
      </c>
      <c r="B41" s="182">
        <v>0</v>
      </c>
      <c r="C41" s="48">
        <f>28711513/1000</f>
        <v>28711.513</v>
      </c>
      <c r="D41" s="105">
        <f>28711513/23571497*100</f>
        <v>121.80606518118047</v>
      </c>
      <c r="E41" s="48">
        <f>1281650606/1000000</f>
        <v>1281.650606</v>
      </c>
      <c r="F41" s="48">
        <f>6215385/1000</f>
        <v>6215.385</v>
      </c>
      <c r="G41" s="183">
        <f>5819281/1000</f>
        <v>5819.281</v>
      </c>
      <c r="H41" s="34"/>
      <c r="I41" s="28"/>
      <c r="J41" s="35"/>
      <c r="K41" s="17"/>
      <c r="L41" s="18"/>
      <c r="M41" s="4"/>
      <c r="N41" s="4"/>
      <c r="O41" s="4"/>
      <c r="P41" s="4"/>
    </row>
    <row r="42" spans="1:16" s="36" customFormat="1" ht="21" customHeight="1" hidden="1">
      <c r="A42" s="139" t="s">
        <v>22</v>
      </c>
      <c r="B42" s="182">
        <v>0</v>
      </c>
      <c r="C42" s="48">
        <f>28897110/1000</f>
        <v>28897.11</v>
      </c>
      <c r="D42" s="105">
        <f>28897110/23572415*100</f>
        <v>122.58866984990719</v>
      </c>
      <c r="E42" s="48">
        <f>1256932368/1000000</f>
        <v>1256.932368</v>
      </c>
      <c r="F42" s="48">
        <f>6206077/1000</f>
        <v>6206.077</v>
      </c>
      <c r="G42" s="183">
        <f>5811473/1000</f>
        <v>5811.473</v>
      </c>
      <c r="H42" s="34"/>
      <c r="I42" s="28"/>
      <c r="J42" s="35"/>
      <c r="K42" s="17"/>
      <c r="L42" s="18"/>
      <c r="M42" s="4"/>
      <c r="N42" s="4"/>
      <c r="O42" s="4"/>
      <c r="P42" s="4"/>
    </row>
    <row r="43" spans="1:16" s="36" customFormat="1" ht="21" customHeight="1" hidden="1">
      <c r="A43" s="138" t="s">
        <v>59</v>
      </c>
      <c r="B43" s="182">
        <v>0</v>
      </c>
      <c r="C43" s="48">
        <f>28945320/1000</f>
        <v>28945.32</v>
      </c>
      <c r="D43" s="105">
        <f>28945320/23574274*100</f>
        <v>122.78350544326413</v>
      </c>
      <c r="E43" s="48">
        <f>1253420957/1000000</f>
        <v>1253.420957</v>
      </c>
      <c r="F43" s="48">
        <f>6171674/1000</f>
        <v>6171.674</v>
      </c>
      <c r="G43" s="183">
        <f>5778117/1000</f>
        <v>5778.117</v>
      </c>
      <c r="H43" s="34"/>
      <c r="I43" s="28"/>
      <c r="J43" s="35"/>
      <c r="K43" s="17"/>
      <c r="L43" s="18"/>
      <c r="M43" s="4"/>
      <c r="N43" s="4"/>
      <c r="O43" s="4"/>
      <c r="P43" s="4"/>
    </row>
    <row r="44" spans="1:16" s="36" customFormat="1" ht="21" customHeight="1" hidden="1">
      <c r="A44" s="139" t="s">
        <v>23</v>
      </c>
      <c r="B44" s="182">
        <v>0</v>
      </c>
      <c r="C44" s="48">
        <f>28926141/1000</f>
        <v>28926.141</v>
      </c>
      <c r="D44" s="105">
        <f>28926141/23576705*100</f>
        <v>122.68949795995665</v>
      </c>
      <c r="E44" s="48">
        <f>1214562185/1000000</f>
        <v>1214.562185</v>
      </c>
      <c r="F44" s="48">
        <f>6170894/1000</f>
        <v>6170.894</v>
      </c>
      <c r="G44" s="183">
        <f>5778437/1000</f>
        <v>5778.437</v>
      </c>
      <c r="H44" s="34"/>
      <c r="I44" s="28"/>
      <c r="J44" s="35"/>
      <c r="K44" s="17"/>
      <c r="L44" s="18"/>
      <c r="M44" s="4"/>
      <c r="N44" s="4"/>
      <c r="O44" s="4"/>
      <c r="P44" s="4"/>
    </row>
    <row r="45" spans="1:16" s="36" customFormat="1" ht="21" customHeight="1" hidden="1">
      <c r="A45" s="139" t="s">
        <v>24</v>
      </c>
      <c r="B45" s="182">
        <v>0</v>
      </c>
      <c r="C45" s="48">
        <f>28955477/1000</f>
        <v>28955.477</v>
      </c>
      <c r="D45" s="105">
        <f>28955477/23577271*100</f>
        <v>122.81097757242559</v>
      </c>
      <c r="E45" s="48">
        <f>1217252508/1000000</f>
        <v>1217.252508</v>
      </c>
      <c r="F45" s="48">
        <f>6144436/1000</f>
        <v>6144.436</v>
      </c>
      <c r="G45" s="183">
        <f>5753029/1000</f>
        <v>5753.029</v>
      </c>
      <c r="H45" s="34"/>
      <c r="I45" s="28"/>
      <c r="J45" s="35"/>
      <c r="K45" s="17"/>
      <c r="L45" s="18"/>
      <c r="M45" s="4"/>
      <c r="N45" s="4"/>
      <c r="O45" s="4"/>
      <c r="P45" s="4"/>
    </row>
    <row r="46" spans="1:16" s="36" customFormat="1" ht="21" customHeight="1" hidden="1">
      <c r="A46" s="139" t="s">
        <v>41</v>
      </c>
      <c r="B46" s="182">
        <v>0</v>
      </c>
      <c r="C46" s="48">
        <f>29043139/1000</f>
        <v>29043.139</v>
      </c>
      <c r="D46" s="105">
        <f>29043139/23577488*100</f>
        <v>123.18165107326107</v>
      </c>
      <c r="E46" s="48">
        <f>1178183183/1000000</f>
        <v>1178.183183</v>
      </c>
      <c r="F46" s="48">
        <f>6150443/1000</f>
        <v>6150.443</v>
      </c>
      <c r="G46" s="183">
        <f>5759956/1000</f>
        <v>5759.956</v>
      </c>
      <c r="H46" s="34"/>
      <c r="I46" s="28"/>
      <c r="J46" s="35"/>
      <c r="K46" s="17"/>
      <c r="L46" s="18"/>
      <c r="M46" s="4"/>
      <c r="N46" s="4"/>
      <c r="O46" s="4"/>
      <c r="P46" s="4"/>
    </row>
    <row r="47" spans="1:16" s="36" customFormat="1" ht="21" customHeight="1" hidden="1">
      <c r="A47" s="139" t="s">
        <v>26</v>
      </c>
      <c r="B47" s="182">
        <v>0</v>
      </c>
      <c r="C47" s="48">
        <f>29114879/1000</f>
        <v>29114.879</v>
      </c>
      <c r="D47" s="105">
        <f>29114879/23580833*100</f>
        <v>123.46840758339623</v>
      </c>
      <c r="E47" s="48">
        <f>1145955440/1000000</f>
        <v>1145.95544</v>
      </c>
      <c r="F47" s="48">
        <f>6134639/1000</f>
        <v>6134.639</v>
      </c>
      <c r="G47" s="183">
        <f>5773083/1000</f>
        <v>5773.083</v>
      </c>
      <c r="H47" s="34"/>
      <c r="I47" s="28"/>
      <c r="J47" s="35"/>
      <c r="K47" s="17"/>
      <c r="L47" s="18"/>
      <c r="M47" s="4"/>
      <c r="N47" s="4"/>
      <c r="O47" s="4"/>
      <c r="P47" s="4"/>
    </row>
    <row r="48" spans="1:16" s="16" customFormat="1" ht="21" customHeight="1" hidden="1">
      <c r="A48" s="139" t="s">
        <v>63</v>
      </c>
      <c r="B48" s="182">
        <v>0</v>
      </c>
      <c r="C48" s="48">
        <f>29167853/1000</f>
        <v>29167.853</v>
      </c>
      <c r="D48" s="105">
        <f>29167853/23584865*100</f>
        <v>123.67190993037272</v>
      </c>
      <c r="E48" s="48">
        <f>1140125411/1000000</f>
        <v>1140.125411</v>
      </c>
      <c r="F48" s="48">
        <f>6146117/1000</f>
        <v>6146.117</v>
      </c>
      <c r="G48" s="183">
        <f>5757664/1000</f>
        <v>5757.664</v>
      </c>
      <c r="H48" s="15"/>
      <c r="I48" s="28"/>
      <c r="J48" s="25"/>
      <c r="K48" s="17"/>
      <c r="L48" s="18"/>
      <c r="M48" s="4"/>
      <c r="N48" s="4"/>
      <c r="O48" s="4"/>
      <c r="P48" s="4"/>
    </row>
    <row r="49" spans="1:16" s="16" customFormat="1" ht="21" customHeight="1" hidden="1">
      <c r="A49" s="139" t="s">
        <v>64</v>
      </c>
      <c r="B49" s="182">
        <v>0</v>
      </c>
      <c r="C49" s="48">
        <f>29219965/1000</f>
        <v>29219.965</v>
      </c>
      <c r="D49" s="105">
        <f>29219965/23588932*100</f>
        <v>123.87150465311443</v>
      </c>
      <c r="E49" s="48">
        <f>1124507429/1000000</f>
        <v>1124.507429</v>
      </c>
      <c r="F49" s="51">
        <f>6149309/1000</f>
        <v>6149.309</v>
      </c>
      <c r="G49" s="161">
        <f>5761934/1000</f>
        <v>5761.934</v>
      </c>
      <c r="H49" s="15"/>
      <c r="I49" s="28"/>
      <c r="J49" s="25"/>
      <c r="K49" s="17"/>
      <c r="L49" s="18"/>
      <c r="M49" s="4"/>
      <c r="N49" s="4"/>
      <c r="O49" s="4"/>
      <c r="P49" s="4"/>
    </row>
    <row r="50" spans="1:16" s="16" customFormat="1" ht="21" customHeight="1">
      <c r="A50" s="142" t="s">
        <v>87</v>
      </c>
      <c r="B50" s="188">
        <f>B57</f>
        <v>0</v>
      </c>
      <c r="C50" s="185">
        <f>C62</f>
        <v>29208.48</v>
      </c>
      <c r="D50" s="192">
        <f>D62</f>
        <v>123.74838056373984</v>
      </c>
      <c r="E50" s="185">
        <f>SUM(E51:E62)</f>
        <v>12325.296002</v>
      </c>
      <c r="F50" s="189">
        <f>F62</f>
        <v>6272.564</v>
      </c>
      <c r="G50" s="190">
        <f>G62</f>
        <v>5897.268</v>
      </c>
      <c r="H50" s="15"/>
      <c r="I50" s="28"/>
      <c r="J50" s="25"/>
      <c r="K50" s="17"/>
      <c r="L50" s="18"/>
      <c r="M50" s="4"/>
      <c r="N50" s="4"/>
      <c r="O50" s="4"/>
      <c r="P50" s="4"/>
    </row>
    <row r="51" spans="1:16" s="16" customFormat="1" ht="21" customHeight="1" hidden="1">
      <c r="A51" s="137" t="s">
        <v>13</v>
      </c>
      <c r="B51" s="182">
        <v>0</v>
      </c>
      <c r="C51" s="48">
        <f>29062009/1000</f>
        <v>29062.009</v>
      </c>
      <c r="D51" s="105">
        <f>29062009/23590744*100</f>
        <v>123.19242241787711</v>
      </c>
      <c r="E51" s="48">
        <f>1136761033/1000000</f>
        <v>1136.761033</v>
      </c>
      <c r="F51" s="51">
        <f>6134639/1000</f>
        <v>6134.639</v>
      </c>
      <c r="G51" s="183">
        <f>5748643/1000</f>
        <v>5748.643</v>
      </c>
      <c r="H51" s="15"/>
      <c r="I51" s="28"/>
      <c r="J51" s="25"/>
      <c r="K51" s="17"/>
      <c r="L51" s="18"/>
      <c r="M51" s="4"/>
      <c r="N51" s="4"/>
      <c r="O51" s="4"/>
      <c r="P51" s="4"/>
    </row>
    <row r="52" spans="1:16" s="16" customFormat="1" ht="21" customHeight="1" hidden="1">
      <c r="A52" s="137" t="s">
        <v>15</v>
      </c>
      <c r="B52" s="182">
        <v>0</v>
      </c>
      <c r="C52" s="48">
        <f>29142709/1000</f>
        <v>29142.709</v>
      </c>
      <c r="D52" s="105">
        <f>29142709/23590004*100</f>
        <v>123.5383809176124</v>
      </c>
      <c r="E52" s="48">
        <f>1041657212/1000000</f>
        <v>1041.657212</v>
      </c>
      <c r="F52" s="51">
        <f>6139844/1000</f>
        <v>6139.844</v>
      </c>
      <c r="G52" s="161">
        <f>5754668/1000</f>
        <v>5754.668</v>
      </c>
      <c r="H52" s="15"/>
      <c r="I52" s="28"/>
      <c r="J52" s="25"/>
      <c r="K52" s="17"/>
      <c r="L52" s="18"/>
      <c r="M52" s="4"/>
      <c r="N52" s="4"/>
      <c r="O52" s="4"/>
      <c r="P52" s="4"/>
    </row>
    <row r="53" spans="1:16" s="16" customFormat="1" ht="21" customHeight="1" hidden="1">
      <c r="A53" s="137" t="s">
        <v>21</v>
      </c>
      <c r="B53" s="182">
        <v>0</v>
      </c>
      <c r="C53" s="48">
        <f>29189721/1000</f>
        <v>29189.721</v>
      </c>
      <c r="D53" s="105">
        <f>29189721/23589192*100</f>
        <v>123.74192808299665</v>
      </c>
      <c r="E53" s="48">
        <f>991255823/1000000</f>
        <v>991.255823</v>
      </c>
      <c r="F53" s="51">
        <f>6149455/1000</f>
        <v>6149.455</v>
      </c>
      <c r="G53" s="161">
        <f>5765219/1000</f>
        <v>5765.219</v>
      </c>
      <c r="H53" s="15"/>
      <c r="I53" s="28"/>
      <c r="J53" s="25"/>
      <c r="K53" s="17"/>
      <c r="L53" s="18"/>
      <c r="M53" s="4"/>
      <c r="N53" s="4"/>
      <c r="O53" s="4"/>
      <c r="P53" s="4"/>
    </row>
    <row r="54" spans="1:16" s="16" customFormat="1" ht="21" customHeight="1" hidden="1">
      <c r="A54" s="138" t="s">
        <v>16</v>
      </c>
      <c r="B54" s="182">
        <v>0</v>
      </c>
      <c r="C54" s="48">
        <f>29232264/1000</f>
        <v>29232.264</v>
      </c>
      <c r="D54" s="105">
        <f>29232264/23589312*100</f>
        <v>123.92164722735448</v>
      </c>
      <c r="E54" s="48">
        <f>1056452343/1000000</f>
        <v>1056.452343</v>
      </c>
      <c r="F54" s="51">
        <f>6160251/1000</f>
        <v>6160.251</v>
      </c>
      <c r="G54" s="161">
        <f>5776946/1000</f>
        <v>5776.946</v>
      </c>
      <c r="H54" s="15"/>
      <c r="I54" s="28"/>
      <c r="J54" s="25"/>
      <c r="K54" s="17"/>
      <c r="L54" s="18"/>
      <c r="M54" s="4"/>
      <c r="N54" s="4"/>
      <c r="O54" s="4"/>
      <c r="P54" s="4"/>
    </row>
    <row r="55" spans="1:16" s="16" customFormat="1" ht="21" customHeight="1" hidden="1">
      <c r="A55" s="139" t="s">
        <v>22</v>
      </c>
      <c r="B55" s="182">
        <v>0</v>
      </c>
      <c r="C55" s="48">
        <f>29255395/1000</f>
        <v>29255.395</v>
      </c>
      <c r="D55" s="105">
        <f>29255395/23589870*100</f>
        <v>124.01677075795669</v>
      </c>
      <c r="E55" s="48">
        <f>1058158315/1000000</f>
        <v>1058.158315</v>
      </c>
      <c r="F55" s="51">
        <f>6189209/1000</f>
        <v>6189.209</v>
      </c>
      <c r="G55" s="161">
        <f>5806829/1000</f>
        <v>5806.829</v>
      </c>
      <c r="H55" s="15"/>
      <c r="I55" s="28"/>
      <c r="J55" s="25"/>
      <c r="K55" s="17"/>
      <c r="L55" s="18"/>
      <c r="M55" s="4"/>
      <c r="N55" s="4"/>
      <c r="O55" s="4"/>
      <c r="P55" s="4"/>
    </row>
    <row r="56" spans="1:16" s="16" customFormat="1" ht="21" customHeight="1" hidden="1">
      <c r="A56" s="140" t="s">
        <v>59</v>
      </c>
      <c r="B56" s="182">
        <v>0</v>
      </c>
      <c r="C56" s="48">
        <f>29250205/1000</f>
        <v>29250.205</v>
      </c>
      <c r="D56" s="105">
        <f>29250205/23591031*100</f>
        <v>123.98866755759848</v>
      </c>
      <c r="E56" s="48">
        <f>1045844937/1000000</f>
        <v>1045.844937</v>
      </c>
      <c r="F56" s="51">
        <f>6181422/1000</f>
        <v>6181.422</v>
      </c>
      <c r="G56" s="51">
        <f>5799986/1000</f>
        <v>5799.986</v>
      </c>
      <c r="H56" s="15"/>
      <c r="I56" s="28"/>
      <c r="J56" s="25"/>
      <c r="K56" s="17"/>
      <c r="L56" s="18"/>
      <c r="M56" s="4"/>
      <c r="N56" s="4"/>
      <c r="O56" s="4"/>
      <c r="P56" s="4"/>
    </row>
    <row r="57" spans="1:16" s="16" customFormat="1" ht="21" customHeight="1">
      <c r="A57" s="140" t="s">
        <v>23</v>
      </c>
      <c r="B57" s="182">
        <v>0</v>
      </c>
      <c r="C57" s="48">
        <f>29277417/1000</f>
        <v>29277.417</v>
      </c>
      <c r="D57" s="105">
        <f>29277417/23592598*100</f>
        <v>124.09577359814294</v>
      </c>
      <c r="E57" s="48">
        <f>1030518419/1000000</f>
        <v>1030.518419</v>
      </c>
      <c r="F57" s="51">
        <f>6195915/1000</f>
        <v>6195.915</v>
      </c>
      <c r="G57" s="51">
        <f>5815540/1000</f>
        <v>5815.54</v>
      </c>
      <c r="H57" s="15"/>
      <c r="I57" s="28"/>
      <c r="J57" s="25"/>
      <c r="K57" s="17"/>
      <c r="L57" s="18"/>
      <c r="M57" s="4"/>
      <c r="N57" s="4"/>
      <c r="O57" s="4"/>
      <c r="P57" s="4"/>
    </row>
    <row r="58" spans="1:16" s="16" customFormat="1" ht="21" customHeight="1">
      <c r="A58" s="140" t="s">
        <v>76</v>
      </c>
      <c r="B58" s="182">
        <v>0</v>
      </c>
      <c r="C58" s="48">
        <f>29294970/1000</f>
        <v>29294.97</v>
      </c>
      <c r="D58" s="105">
        <f>29294970/23593794*100</f>
        <v>124.16387970497667</v>
      </c>
      <c r="E58" s="48">
        <f>1041437861/1000000</f>
        <v>1041.437861</v>
      </c>
      <c r="F58" s="51">
        <f>6202696/1000</f>
        <v>6202.696</v>
      </c>
      <c r="G58" s="51">
        <f>5823214/1000</f>
        <v>5823.214</v>
      </c>
      <c r="H58" s="15"/>
      <c r="I58" s="28"/>
      <c r="J58" s="25"/>
      <c r="K58" s="17"/>
      <c r="L58" s="18"/>
      <c r="M58" s="4"/>
      <c r="N58" s="4"/>
      <c r="O58" s="4"/>
      <c r="P58" s="4"/>
    </row>
    <row r="59" spans="1:16" s="16" customFormat="1" ht="21" customHeight="1">
      <c r="A59" s="140" t="s">
        <v>25</v>
      </c>
      <c r="B59" s="182">
        <v>0</v>
      </c>
      <c r="C59" s="48">
        <f>29305873/1000</f>
        <v>29305.873</v>
      </c>
      <c r="D59" s="105">
        <f>29305873/23593783*100</f>
        <v>124.2101489193149</v>
      </c>
      <c r="E59" s="48">
        <f>1000369373/1000000</f>
        <v>1000.369373</v>
      </c>
      <c r="F59" s="51">
        <f>6256234/1000</f>
        <v>6256.234</v>
      </c>
      <c r="G59" s="51">
        <f>5877734/1000</f>
        <v>5877.734</v>
      </c>
      <c r="H59" s="15"/>
      <c r="I59" s="28"/>
      <c r="J59" s="25"/>
      <c r="K59" s="17"/>
      <c r="L59" s="18"/>
      <c r="M59" s="4"/>
      <c r="N59" s="4"/>
      <c r="O59" s="4"/>
      <c r="P59" s="4"/>
    </row>
    <row r="60" spans="1:16" s="16" customFormat="1" ht="21" customHeight="1">
      <c r="A60" s="140" t="s">
        <v>77</v>
      </c>
      <c r="B60" s="182">
        <v>0</v>
      </c>
      <c r="C60" s="48">
        <f>29264753/1000</f>
        <v>29264.753</v>
      </c>
      <c r="D60" s="105">
        <f>29264753/23596266*100</f>
        <v>124.02281360957703</v>
      </c>
      <c r="E60" s="48">
        <f>980346610/1000000</f>
        <v>980.34661</v>
      </c>
      <c r="F60" s="51">
        <f>6267379/1000</f>
        <v>6267.379</v>
      </c>
      <c r="G60" s="51">
        <f>5890000/1000</f>
        <v>5890</v>
      </c>
      <c r="H60" s="15"/>
      <c r="I60" s="28"/>
      <c r="J60" s="25"/>
      <c r="K60" s="17"/>
      <c r="L60" s="18"/>
      <c r="M60" s="4"/>
      <c r="N60" s="4"/>
      <c r="O60" s="4"/>
      <c r="P60" s="4"/>
    </row>
    <row r="61" spans="1:16" s="16" customFormat="1" ht="21" customHeight="1">
      <c r="A61" s="140" t="s">
        <v>63</v>
      </c>
      <c r="B61" s="182">
        <v>0</v>
      </c>
      <c r="C61" s="48">
        <f>29240574/1000</f>
        <v>29240.574</v>
      </c>
      <c r="D61" s="105">
        <f>29240574/23598776*100</f>
        <v>123.90716365967455</v>
      </c>
      <c r="E61" s="48">
        <f>973155569/1000000</f>
        <v>973.155569</v>
      </c>
      <c r="F61" s="51">
        <f>6272600/1000</f>
        <v>6272.6</v>
      </c>
      <c r="G61" s="51">
        <f>5896166/1000</f>
        <v>5896.166</v>
      </c>
      <c r="H61" s="15"/>
      <c r="I61" s="28"/>
      <c r="J61" s="25"/>
      <c r="K61" s="17"/>
      <c r="L61" s="18"/>
      <c r="M61" s="4"/>
      <c r="N61" s="4"/>
      <c r="O61" s="4"/>
      <c r="P61" s="4"/>
    </row>
    <row r="62" spans="1:16" s="16" customFormat="1" ht="21" customHeight="1">
      <c r="A62" s="141" t="s">
        <v>64</v>
      </c>
      <c r="B62" s="182">
        <v>0</v>
      </c>
      <c r="C62" s="48">
        <f>29208480/1000</f>
        <v>29208.48</v>
      </c>
      <c r="D62" s="105">
        <f>29208480/23603121*100</f>
        <v>123.74838056373984</v>
      </c>
      <c r="E62" s="48">
        <f>969338507/1000000</f>
        <v>969.338507</v>
      </c>
      <c r="F62" s="51">
        <f>6272564/1000</f>
        <v>6272.564</v>
      </c>
      <c r="G62" s="51">
        <f>5897268/1000</f>
        <v>5897.268</v>
      </c>
      <c r="H62" s="15"/>
      <c r="I62" s="28"/>
      <c r="J62" s="25"/>
      <c r="K62" s="17"/>
      <c r="L62" s="18"/>
      <c r="M62" s="4"/>
      <c r="N62" s="4"/>
      <c r="O62" s="4"/>
      <c r="P62" s="4"/>
    </row>
    <row r="63" spans="1:16" s="16" customFormat="1" ht="21" customHeight="1">
      <c r="A63" s="194" t="s">
        <v>89</v>
      </c>
      <c r="B63" s="202">
        <f>B64</f>
        <v>0</v>
      </c>
      <c r="C63" s="203">
        <f>C70</f>
        <v>29124.536</v>
      </c>
      <c r="D63" s="204">
        <f>D70</f>
        <v>123.52050716949891</v>
      </c>
      <c r="E63" s="203">
        <f>SUM(E64:E75)</f>
        <v>6528.684958</v>
      </c>
      <c r="F63" s="205">
        <f>F70</f>
        <v>6353.975</v>
      </c>
      <c r="G63" s="205">
        <f>G70</f>
        <v>5985.211</v>
      </c>
      <c r="H63" s="15"/>
      <c r="I63" s="28"/>
      <c r="J63" s="25"/>
      <c r="K63" s="17"/>
      <c r="L63" s="18"/>
      <c r="M63" s="4"/>
      <c r="N63" s="4"/>
      <c r="O63" s="4"/>
      <c r="P63" s="4"/>
    </row>
    <row r="64" spans="1:16" s="16" customFormat="1" ht="21" customHeight="1">
      <c r="A64" s="195" t="s">
        <v>13</v>
      </c>
      <c r="B64" s="193">
        <v>0</v>
      </c>
      <c r="C64" s="48">
        <f>29047706/1000</f>
        <v>29047.706</v>
      </c>
      <c r="D64" s="105">
        <f>29178653/23604265*100</f>
        <v>123.61602024040994</v>
      </c>
      <c r="E64" s="48">
        <f>955878601/1000000</f>
        <v>955.878601</v>
      </c>
      <c r="F64" s="51">
        <f>6222744/1000</f>
        <v>6222.744</v>
      </c>
      <c r="G64" s="51">
        <f>5848380/1000</f>
        <v>5848.38</v>
      </c>
      <c r="H64" s="15"/>
      <c r="I64" s="28"/>
      <c r="J64" s="25"/>
      <c r="K64" s="17"/>
      <c r="L64" s="18"/>
      <c r="M64" s="4"/>
      <c r="N64" s="4"/>
      <c r="O64" s="4"/>
      <c r="P64" s="4"/>
    </row>
    <row r="65" spans="1:16" s="16" customFormat="1" ht="21" customHeight="1">
      <c r="A65" s="195" t="s">
        <v>15</v>
      </c>
      <c r="B65" s="193">
        <v>0</v>
      </c>
      <c r="C65" s="48">
        <f>29052962/1000</f>
        <v>29052.962</v>
      </c>
      <c r="D65" s="105">
        <f>29523767/23600903*100</f>
        <v>125.0959211179335</v>
      </c>
      <c r="E65" s="48">
        <f>887655273/1000000</f>
        <v>887.655273</v>
      </c>
      <c r="F65" s="51">
        <f>6242455/1000</f>
        <v>6242.455</v>
      </c>
      <c r="G65" s="51">
        <f>5869040/1000</f>
        <v>5869.04</v>
      </c>
      <c r="H65" s="15"/>
      <c r="I65" s="28"/>
      <c r="J65" s="25"/>
      <c r="K65" s="17"/>
      <c r="L65" s="18"/>
      <c r="M65" s="4"/>
      <c r="N65" s="4"/>
      <c r="O65" s="4"/>
      <c r="P65" s="4"/>
    </row>
    <row r="66" spans="1:16" s="16" customFormat="1" ht="21" customHeight="1">
      <c r="A66" s="195" t="s">
        <v>21</v>
      </c>
      <c r="B66" s="193">
        <v>0</v>
      </c>
      <c r="C66" s="48">
        <f>29102510/1000</f>
        <v>29102.51</v>
      </c>
      <c r="D66" s="105">
        <f>29583785/23596493*100</f>
        <v>125.37365192361425</v>
      </c>
      <c r="E66" s="48">
        <f>916338862/1000000</f>
        <v>916.338862</v>
      </c>
      <c r="F66" s="51">
        <f>6260339/1000</f>
        <v>6260.339</v>
      </c>
      <c r="G66" s="51">
        <f>5887964/1000</f>
        <v>5887.964</v>
      </c>
      <c r="H66" s="15"/>
      <c r="I66" s="28"/>
      <c r="J66" s="25"/>
      <c r="K66" s="17"/>
      <c r="L66" s="18"/>
      <c r="M66" s="4"/>
      <c r="N66" s="4"/>
      <c r="O66" s="4"/>
      <c r="P66" s="4"/>
    </row>
    <row r="67" spans="1:16" s="16" customFormat="1" ht="21" customHeight="1">
      <c r="A67" s="196" t="s">
        <v>16</v>
      </c>
      <c r="B67" s="193">
        <v>0</v>
      </c>
      <c r="C67" s="48">
        <f>29062497/1000</f>
        <v>29062.497</v>
      </c>
      <c r="D67" s="105">
        <f>29062497/23591920*100</f>
        <v>123.18835007917966</v>
      </c>
      <c r="E67" s="48">
        <f>939845391/1000000</f>
        <v>939.845391</v>
      </c>
      <c r="F67" s="51">
        <f>6272555/1000</f>
        <v>6272.555</v>
      </c>
      <c r="G67" s="51">
        <f>5901027/1000</f>
        <v>5901.027</v>
      </c>
      <c r="H67" s="15"/>
      <c r="I67" s="28"/>
      <c r="J67" s="48"/>
      <c r="K67" s="17"/>
      <c r="L67" s="18"/>
      <c r="M67" s="4"/>
      <c r="N67" s="4"/>
      <c r="O67" s="4"/>
      <c r="P67" s="4"/>
    </row>
    <row r="68" spans="1:16" s="16" customFormat="1" ht="21" customHeight="1">
      <c r="A68" s="197" t="s">
        <v>22</v>
      </c>
      <c r="B68" s="193">
        <v>0</v>
      </c>
      <c r="C68" s="48">
        <f>29062864/1000</f>
        <v>29062.864</v>
      </c>
      <c r="D68" s="105">
        <f>29062864/23586562*100</f>
        <v>123.2178899154527</v>
      </c>
      <c r="E68" s="48">
        <f>944332995/1000000</f>
        <v>944.332995</v>
      </c>
      <c r="F68" s="51">
        <f>6286424/1000</f>
        <v>6286.424</v>
      </c>
      <c r="G68" s="51">
        <f>5915881/1000</f>
        <v>5915.881</v>
      </c>
      <c r="H68" s="15"/>
      <c r="I68" s="28"/>
      <c r="J68" s="25"/>
      <c r="K68" s="17"/>
      <c r="L68" s="18"/>
      <c r="M68" s="4"/>
      <c r="N68" s="4"/>
      <c r="O68" s="4"/>
      <c r="P68" s="4"/>
    </row>
    <row r="69" spans="1:16" s="16" customFormat="1" ht="21" customHeight="1">
      <c r="A69" s="198" t="s">
        <v>59</v>
      </c>
      <c r="B69" s="193">
        <v>0</v>
      </c>
      <c r="C69" s="48">
        <f>29075258/1000</f>
        <v>29075.258</v>
      </c>
      <c r="D69" s="105">
        <f>29075258/23583823*100</f>
        <v>123.28475328194246</v>
      </c>
      <c r="E69" s="48">
        <f>936112818/1000000</f>
        <v>936.112818</v>
      </c>
      <c r="F69" s="51">
        <f>6320457/1000</f>
        <v>6320.457</v>
      </c>
      <c r="G69" s="51">
        <f>5949914/1000</f>
        <v>5949.914</v>
      </c>
      <c r="H69" s="15"/>
      <c r="I69" s="28"/>
      <c r="J69" s="25"/>
      <c r="K69" s="17"/>
      <c r="L69" s="18"/>
      <c r="M69" s="4"/>
      <c r="N69" s="4"/>
      <c r="O69" s="4"/>
      <c r="P69" s="4"/>
    </row>
    <row r="70" spans="1:16" s="16" customFormat="1" ht="21" customHeight="1" thickBot="1">
      <c r="A70" s="198" t="s">
        <v>23</v>
      </c>
      <c r="B70" s="193">
        <v>0</v>
      </c>
      <c r="C70" s="48">
        <f>29124536/1000</f>
        <v>29124.536</v>
      </c>
      <c r="D70" s="105">
        <f>29124536/23578705*100</f>
        <v>123.52050716949891</v>
      </c>
      <c r="E70" s="48">
        <f>948521018/1000000</f>
        <v>948.521018</v>
      </c>
      <c r="F70" s="51">
        <f>6353975/1000</f>
        <v>6353.975</v>
      </c>
      <c r="G70" s="51">
        <f>5985211/1000</f>
        <v>5985.211</v>
      </c>
      <c r="H70" s="15"/>
      <c r="I70" s="28"/>
      <c r="J70" s="25"/>
      <c r="K70" s="17"/>
      <c r="L70" s="18"/>
      <c r="M70" s="4"/>
      <c r="N70" s="4"/>
      <c r="O70" s="4"/>
      <c r="P70" s="4"/>
    </row>
    <row r="71" spans="1:16" s="16" customFormat="1" ht="21" customHeight="1" hidden="1">
      <c r="A71" s="198" t="s">
        <v>76</v>
      </c>
      <c r="B71" s="193"/>
      <c r="C71" s="48"/>
      <c r="D71" s="105"/>
      <c r="E71" s="48"/>
      <c r="F71" s="51"/>
      <c r="G71" s="51"/>
      <c r="H71" s="15"/>
      <c r="I71" s="28"/>
      <c r="J71" s="25"/>
      <c r="K71" s="17"/>
      <c r="L71" s="18"/>
      <c r="M71" s="4"/>
      <c r="N71" s="4"/>
      <c r="O71" s="4"/>
      <c r="P71" s="4"/>
    </row>
    <row r="72" spans="1:16" s="16" customFormat="1" ht="21" customHeight="1" hidden="1">
      <c r="A72" s="198" t="s">
        <v>25</v>
      </c>
      <c r="B72" s="193"/>
      <c r="C72" s="48"/>
      <c r="D72" s="105"/>
      <c r="E72" s="48"/>
      <c r="F72" s="51"/>
      <c r="G72" s="51"/>
      <c r="H72" s="15"/>
      <c r="I72" s="28"/>
      <c r="J72" s="25"/>
      <c r="K72" s="17"/>
      <c r="L72" s="18"/>
      <c r="M72" s="4"/>
      <c r="N72" s="4"/>
      <c r="O72" s="4"/>
      <c r="P72" s="4"/>
    </row>
    <row r="73" spans="1:16" s="16" customFormat="1" ht="21" customHeight="1" hidden="1">
      <c r="A73" s="198" t="s">
        <v>77</v>
      </c>
      <c r="B73" s="193"/>
      <c r="C73" s="48"/>
      <c r="D73" s="105"/>
      <c r="E73" s="48"/>
      <c r="F73" s="51"/>
      <c r="G73" s="51"/>
      <c r="H73" s="15"/>
      <c r="I73" s="28"/>
      <c r="J73" s="25"/>
      <c r="K73" s="17"/>
      <c r="L73" s="18"/>
      <c r="M73" s="4"/>
      <c r="N73" s="4"/>
      <c r="O73" s="4"/>
      <c r="P73" s="4"/>
    </row>
    <row r="74" spans="1:16" s="16" customFormat="1" ht="21" customHeight="1" hidden="1">
      <c r="A74" s="198" t="s">
        <v>63</v>
      </c>
      <c r="B74" s="193"/>
      <c r="C74" s="48"/>
      <c r="D74" s="105"/>
      <c r="E74" s="48"/>
      <c r="F74" s="51"/>
      <c r="G74" s="51"/>
      <c r="H74" s="15"/>
      <c r="I74" s="28"/>
      <c r="J74" s="25"/>
      <c r="K74" s="17"/>
      <c r="L74" s="18"/>
      <c r="M74" s="4"/>
      <c r="N74" s="4"/>
      <c r="O74" s="4"/>
      <c r="P74" s="4"/>
    </row>
    <row r="75" spans="1:16" s="16" customFormat="1" ht="21" customHeight="1" hidden="1" thickBot="1">
      <c r="A75" s="199" t="s">
        <v>64</v>
      </c>
      <c r="B75" s="193"/>
      <c r="C75" s="48"/>
      <c r="D75" s="105"/>
      <c r="E75" s="48"/>
      <c r="F75" s="51"/>
      <c r="G75" s="51"/>
      <c r="H75" s="15"/>
      <c r="I75" s="28"/>
      <c r="J75" s="25"/>
      <c r="K75" s="17"/>
      <c r="L75" s="18"/>
      <c r="M75" s="4"/>
      <c r="N75" s="4"/>
      <c r="O75" s="4"/>
      <c r="P75" s="4"/>
    </row>
    <row r="76" spans="1:18" s="16" customFormat="1" ht="49.5" customHeight="1">
      <c r="A76" s="118" t="s">
        <v>27</v>
      </c>
      <c r="B76" s="116">
        <v>0</v>
      </c>
      <c r="C76" s="117">
        <f>(C70-C69)/C69*100</f>
        <v>0.16948430861730762</v>
      </c>
      <c r="D76" s="117">
        <f>(D70-D69)/D69*100</f>
        <v>0.1912271236146333</v>
      </c>
      <c r="E76" s="117">
        <f>(E70-E69)/E69*100</f>
        <v>1.325502627611716</v>
      </c>
      <c r="F76" s="117">
        <f>(F70-F69)/F69*100</f>
        <v>0.5303097545003476</v>
      </c>
      <c r="G76" s="117">
        <f>(G70-G69)/G69*100</f>
        <v>0.5932354652521109</v>
      </c>
      <c r="H76" s="24"/>
      <c r="I76" s="24"/>
      <c r="J76" s="4"/>
      <c r="K76" s="4"/>
      <c r="L76" s="4"/>
      <c r="M76" s="17"/>
      <c r="N76" s="18"/>
      <c r="O76" s="4"/>
      <c r="P76" s="4"/>
      <c r="Q76" s="4"/>
      <c r="R76" s="4"/>
    </row>
    <row r="77" spans="1:18" s="16" customFormat="1" ht="49.5" customHeight="1">
      <c r="A77" s="119" t="s">
        <v>20</v>
      </c>
      <c r="B77" s="106">
        <v>0</v>
      </c>
      <c r="C77" s="107">
        <f>(C70-C57)/C57*100</f>
        <v>-0.5221806281612931</v>
      </c>
      <c r="D77" s="107">
        <f>(D70-D57)/D57*100</f>
        <v>-0.46356649542868605</v>
      </c>
      <c r="E77" s="107">
        <f>(E70-E57)/E57*100</f>
        <v>-7.95690785222151</v>
      </c>
      <c r="F77" s="107">
        <f>(F70-F57)/F57*100</f>
        <v>2.5510356420318936</v>
      </c>
      <c r="G77" s="107">
        <f>(G70-G57)/G57*100</f>
        <v>2.917545060303949</v>
      </c>
      <c r="H77" s="107" t="e">
        <f>(H70-H57)/H57*100</f>
        <v>#DIV/0!</v>
      </c>
      <c r="I77" s="10"/>
      <c r="J77" s="4"/>
      <c r="K77" s="4"/>
      <c r="L77" s="4"/>
      <c r="M77" s="17"/>
      <c r="N77" s="18"/>
      <c r="O77" s="4"/>
      <c r="P77" s="4"/>
      <c r="Q77" s="4"/>
      <c r="R77" s="4"/>
    </row>
    <row r="78" spans="1:14" s="4" customFormat="1" ht="49.5" customHeight="1" thickBot="1">
      <c r="A78" s="120" t="s">
        <v>19</v>
      </c>
      <c r="B78" s="110">
        <v>0</v>
      </c>
      <c r="C78" s="111">
        <f>(C63-C57)/C57*100</f>
        <v>-0.5221806281612931</v>
      </c>
      <c r="D78" s="111">
        <f>(D63-D57)/D57*100</f>
        <v>-0.46356649542868605</v>
      </c>
      <c r="E78" s="112">
        <f>(E63-7360648082/1000000)/(7360648082/1000000)*100</f>
        <v>-11.302851525187208</v>
      </c>
      <c r="F78" s="112">
        <f>(F63-F57)/F57*100</f>
        <v>2.5510356420318936</v>
      </c>
      <c r="G78" s="112">
        <f>(G63-G57)/G57*100</f>
        <v>2.917545060303949</v>
      </c>
      <c r="H78" s="7"/>
      <c r="I78" s="31"/>
      <c r="M78" s="17"/>
      <c r="N78" s="18"/>
    </row>
    <row r="79" spans="1:14" s="4" customFormat="1" ht="16.5">
      <c r="A79" s="3"/>
      <c r="B79" s="3"/>
      <c r="C79" s="3"/>
      <c r="D79" s="3"/>
      <c r="F79" s="9"/>
      <c r="G79" s="9"/>
      <c r="H79" s="7"/>
      <c r="I79" s="6"/>
      <c r="M79" s="17"/>
      <c r="N79" s="18"/>
    </row>
    <row r="80" spans="1:12" s="4" customFormat="1" ht="16.5">
      <c r="A80" s="3"/>
      <c r="B80" s="3"/>
      <c r="E80" s="121"/>
      <c r="F80" s="10"/>
      <c r="G80" s="10"/>
      <c r="K80" s="17"/>
      <c r="L80" s="18"/>
    </row>
    <row r="81" spans="1:12" s="4" customFormat="1" ht="16.5">
      <c r="A81" s="3"/>
      <c r="B81" s="3"/>
      <c r="F81" s="10"/>
      <c r="G81" s="10"/>
      <c r="K81" s="17"/>
      <c r="L81" s="18"/>
    </row>
    <row r="82" spans="1:14" s="4" customFormat="1" ht="16.5">
      <c r="A82" s="3"/>
      <c r="B82" s="3"/>
      <c r="C82" s="3"/>
      <c r="D82" s="3"/>
      <c r="E82" s="3"/>
      <c r="F82" s="10"/>
      <c r="G82" s="10"/>
      <c r="H82" s="3"/>
      <c r="M82" s="17"/>
      <c r="N82" s="18"/>
    </row>
    <row r="83" spans="1:13" s="4" customFormat="1" ht="16.5">
      <c r="A83" s="3"/>
      <c r="B83" s="3"/>
      <c r="C83" s="3"/>
      <c r="D83" s="3"/>
      <c r="E83" s="3"/>
      <c r="F83" s="3"/>
      <c r="G83" s="3"/>
      <c r="H83" s="3"/>
      <c r="M83" s="17"/>
    </row>
    <row r="84" spans="1:13" s="4" customFormat="1" ht="16.5">
      <c r="A84" s="3"/>
      <c r="B84" s="3"/>
      <c r="C84" s="3"/>
      <c r="D84" s="3"/>
      <c r="E84" s="3"/>
      <c r="F84" s="3"/>
      <c r="G84" s="3"/>
      <c r="M84" s="17"/>
    </row>
    <row r="85" spans="1:7" s="4" customFormat="1" ht="16.5">
      <c r="A85" s="3"/>
      <c r="B85" s="3"/>
      <c r="C85" s="3"/>
      <c r="D85" s="3"/>
      <c r="E85" s="3"/>
      <c r="F85" s="3"/>
      <c r="G85" s="3"/>
    </row>
    <row r="86" spans="1:7" s="4" customFormat="1" ht="16.5">
      <c r="A86" s="3"/>
      <c r="B86" s="3"/>
      <c r="C86" s="3"/>
      <c r="D86" s="3"/>
      <c r="E86" s="3"/>
      <c r="F86" s="3"/>
      <c r="G86" s="3"/>
    </row>
    <row r="87" spans="1:7" s="4" customFormat="1" ht="16.5">
      <c r="A87" s="3"/>
      <c r="B87" s="3"/>
      <c r="C87" s="3"/>
      <c r="D87" s="3"/>
      <c r="E87" s="3"/>
      <c r="F87" s="3"/>
      <c r="G87" s="3"/>
    </row>
    <row r="88" spans="1:7" s="4" customFormat="1" ht="16.5">
      <c r="A88" s="3"/>
      <c r="B88" s="3"/>
      <c r="C88" s="3"/>
      <c r="D88" s="3"/>
      <c r="E88" s="3"/>
      <c r="F88" s="3"/>
      <c r="G88" s="3"/>
    </row>
    <row r="89" spans="1:7" s="4" customFormat="1" ht="16.5">
      <c r="A89" s="3"/>
      <c r="B89" s="3"/>
      <c r="C89" s="3"/>
      <c r="D89" s="3"/>
      <c r="E89" s="3"/>
      <c r="F89" s="3"/>
      <c r="G89" s="3"/>
    </row>
    <row r="90" spans="1:8" s="4" customFormat="1" ht="16.5">
      <c r="A90" s="3"/>
      <c r="B90" s="3"/>
      <c r="C90" s="3"/>
      <c r="D90" s="3"/>
      <c r="E90" s="3"/>
      <c r="F90" s="3"/>
      <c r="G90" s="3"/>
      <c r="H90" s="5"/>
    </row>
    <row r="91" spans="1:8" s="4" customFormat="1" ht="16.5">
      <c r="A91" s="3"/>
      <c r="B91" s="3"/>
      <c r="C91" s="3"/>
      <c r="D91" s="3"/>
      <c r="E91" s="3"/>
      <c r="F91" s="3"/>
      <c r="G91" s="3"/>
      <c r="H91" s="5"/>
    </row>
    <row r="92" spans="1:8" s="4" customFormat="1" ht="16.5">
      <c r="A92" s="3"/>
      <c r="B92" s="3"/>
      <c r="C92" s="3"/>
      <c r="D92" s="3"/>
      <c r="E92" s="3"/>
      <c r="F92" s="3"/>
      <c r="G92" s="3"/>
      <c r="H92" s="11"/>
    </row>
    <row r="93" spans="1:8" s="4" customFormat="1" ht="16.5">
      <c r="A93" s="3"/>
      <c r="B93" s="3"/>
      <c r="C93" s="3"/>
      <c r="D93" s="3"/>
      <c r="E93" s="3"/>
      <c r="F93" s="3"/>
      <c r="G93" s="3"/>
      <c r="H93" s="12"/>
    </row>
    <row r="94" spans="1:8" s="4" customFormat="1" ht="16.5">
      <c r="A94" s="3"/>
      <c r="B94" s="3"/>
      <c r="C94" s="3"/>
      <c r="D94" s="3"/>
      <c r="E94" s="3"/>
      <c r="F94" s="3"/>
      <c r="G94" s="3"/>
      <c r="H94" s="12"/>
    </row>
    <row r="95" spans="1:8" s="4" customFormat="1" ht="16.5">
      <c r="A95" s="3"/>
      <c r="B95" s="3"/>
      <c r="C95" s="3"/>
      <c r="D95" s="3"/>
      <c r="E95" s="3"/>
      <c r="F95" s="3"/>
      <c r="G95" s="3"/>
      <c r="H95" s="13"/>
    </row>
    <row r="96" spans="1:8" s="4" customFormat="1" ht="16.5">
      <c r="A96" s="3"/>
      <c r="B96" s="3"/>
      <c r="C96" s="3"/>
      <c r="D96" s="3"/>
      <c r="E96" s="3"/>
      <c r="F96" s="3"/>
      <c r="G96" s="3"/>
      <c r="H96" s="5"/>
    </row>
    <row r="97" ht="28.5" customHeight="1">
      <c r="H97" s="2"/>
    </row>
    <row r="98" ht="28.5" customHeight="1">
      <c r="H98" s="14"/>
    </row>
    <row r="99" ht="28.5" customHeight="1">
      <c r="H99" s="2"/>
    </row>
    <row r="100" spans="1:7" s="8" customFormat="1" ht="15.75" customHeight="1">
      <c r="A100" s="3"/>
      <c r="B100" s="3"/>
      <c r="C100" s="3"/>
      <c r="D100" s="3"/>
      <c r="E100" s="3"/>
      <c r="F100" s="3"/>
      <c r="G100" s="3"/>
    </row>
  </sheetData>
  <sheetProtection formatCells="0" formatColumns="0" formatRows="0" insertColumns="0" insertRows="0" insertHyperlinks="0" deleteColumns="0" deleteRows="0" selectLockedCells="1" sort="0" autoFilter="0" pivotTables="0"/>
  <mergeCells count="8">
    <mergeCell ref="A1:G1"/>
    <mergeCell ref="H5:H23"/>
    <mergeCell ref="F2:F3"/>
    <mergeCell ref="A2:A4"/>
    <mergeCell ref="B2:B3"/>
    <mergeCell ref="C2:E2"/>
    <mergeCell ref="G2:G3"/>
    <mergeCell ref="H2:H4"/>
  </mergeCells>
  <printOptions horizontalCentered="1"/>
  <pageMargins left="0.25" right="0.25" top="0.41" bottom="0.36" header="0.27" footer="0.22"/>
  <pageSetup horizontalDpi="600" verticalDpi="600" orientation="portrait" paperSize="9" scale="81" r:id="rId1"/>
  <headerFooter alignWithMargins="0">
    <oddHeader>&amp;C
　　　　　　　　　　　　　　　　　　　　</oddHeader>
    <oddFooter xml:space="preserve">&amp;C&amp;10 </oddFooter>
  </headerFooter>
  <rowBreaks count="1" manualBreakCount="1">
    <brk id="7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gotac</dc:creator>
  <cp:keywords/>
  <dc:description/>
  <cp:lastModifiedBy>呂柚葵(平臺)</cp:lastModifiedBy>
  <cp:lastPrinted>2018-03-31T03:26:51Z</cp:lastPrinted>
  <dcterms:created xsi:type="dcterms:W3CDTF">2005-01-26T03:51:16Z</dcterms:created>
  <dcterms:modified xsi:type="dcterms:W3CDTF">2020-08-31T08:46:01Z</dcterms:modified>
  <cp:category/>
  <cp:version/>
  <cp:contentType/>
  <cp:contentStatus/>
</cp:coreProperties>
</file>